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https://celsia-my.sharepoint.com/personal/jcadavidl_celsia_com/Documents/Trimestrales/2022/2T2022/"/>
    </mc:Choice>
  </mc:AlternateContent>
  <xr:revisionPtr revIDLastSave="422" documentId="8_{502B2187-EEF1-4C26-91DA-37FFCB954274}" xr6:coauthVersionLast="47" xr6:coauthVersionMax="47" xr10:uidLastSave="{A7D31B30-A3FB-44FE-B3BA-F112D8B99465}"/>
  <bookViews>
    <workbookView xWindow="-120" yWindow="-120" windowWidth="20730" windowHeight="11160" tabRatio="820" activeTab="6" xr2:uid="{00000000-000D-0000-FFFF-FFFF00000000}"/>
  </bookViews>
  <sheets>
    <sheet name="Contenido" sheetId="1" r:id="rId1"/>
    <sheet name="EEFF Consolidados" sheetId="3" r:id="rId2"/>
    <sheet name="EEFF por seg. y cía" sheetId="12" r:id="rId3"/>
    <sheet name="Flujo de Efectivo" sheetId="4" r:id="rId4"/>
    <sheet name="Anexos Fros" sheetId="5" r:id="rId5"/>
    <sheet name="Anexos Ops. PxQ" sheetId="6" r:id="rId6"/>
    <sheet name="ESG" sheetId="15" r:id="rId7"/>
    <sheet name="DES activos" sheetId="8" r:id="rId8"/>
    <sheet name="DES Proyectos" sheetId="14" r:id="rId9"/>
    <sheet name="DES Contratos CA" sheetId="11" r:id="rId10"/>
    <sheet name="DES Ing. OR" sheetId="16" state="hidden" r:id="rId11"/>
    <sheet name="FAQs" sheetId="13" r:id="rId12"/>
    <sheet name="Fuentes info Col" sheetId="10" r:id="rId13"/>
    <sheet name="Fuentes info CA" sheetId="9" r:id="rId14"/>
    <sheet name="EEFF anteriores - Colgaaps" sheetId="2"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a">#REF!</definedName>
    <definedName name="\f">#REF!</definedName>
    <definedName name="\l">#REF!</definedName>
    <definedName name="\p">#REF!</definedName>
    <definedName name="\q">#REF!</definedName>
    <definedName name="\s">#REF!</definedName>
    <definedName name="\w">#REF!</definedName>
    <definedName name="\z">#REF!</definedName>
    <definedName name="______________________new1" localSheetId="10" hidden="1">{#N/A,#N/A,FALSE,"SMT1";#N/A,#N/A,FALSE,"SMT2";#N/A,#N/A,FALSE,"Summary";#N/A,#N/A,FALSE,"Graphs";#N/A,#N/A,FALSE,"4 Panel"}</definedName>
    <definedName name="______________________new1" hidden="1">{#N/A,#N/A,FALSE,"SMT1";#N/A,#N/A,FALSE,"SMT2";#N/A,#N/A,FALSE,"Summary";#N/A,#N/A,FALSE,"Graphs";#N/A,#N/A,FALSE,"4 Panel"}</definedName>
    <definedName name="______________________NEW3" localSheetId="10" hidden="1">{#N/A,#N/A,FALSE,"SMT1";#N/A,#N/A,FALSE,"SMT2";#N/A,#N/A,FALSE,"Summary";#N/A,#N/A,FALSE,"Graphs";#N/A,#N/A,FALSE,"4 Panel"}</definedName>
    <definedName name="______________________NEW3" hidden="1">{#N/A,#N/A,FALSE,"SMT1";#N/A,#N/A,FALSE,"SMT2";#N/A,#N/A,FALSE,"Summary";#N/A,#N/A,FALSE,"Graphs";#N/A,#N/A,FALSE,"4 Panel"}</definedName>
    <definedName name="______________________NEW4" localSheetId="10" hidden="1">{#N/A,#N/A,FALSE,"Full";#N/A,#N/A,FALSE,"Half";#N/A,#N/A,FALSE,"Op Expenses";#N/A,#N/A,FALSE,"Cap Charge";#N/A,#N/A,FALSE,"Cost C";#N/A,#N/A,FALSE,"PP&amp;E";#N/A,#N/A,FALSE,"R&amp;D"}</definedName>
    <definedName name="______________________NEW4" hidden="1">{#N/A,#N/A,FALSE,"Full";#N/A,#N/A,FALSE,"Half";#N/A,#N/A,FALSE,"Op Expenses";#N/A,#N/A,FALSE,"Cap Charge";#N/A,#N/A,FALSE,"Cost C";#N/A,#N/A,FALSE,"PP&amp;E";#N/A,#N/A,FALSE,"R&amp;D"}</definedName>
    <definedName name="_____________________new1" localSheetId="10" hidden="1">{#N/A,#N/A,FALSE,"SMT1";#N/A,#N/A,FALSE,"SMT2";#N/A,#N/A,FALSE,"Summary";#N/A,#N/A,FALSE,"Graphs";#N/A,#N/A,FALSE,"4 Panel"}</definedName>
    <definedName name="_____________________new1" hidden="1">{#N/A,#N/A,FALSE,"SMT1";#N/A,#N/A,FALSE,"SMT2";#N/A,#N/A,FALSE,"Summary";#N/A,#N/A,FALSE,"Graphs";#N/A,#N/A,FALSE,"4 Panel"}</definedName>
    <definedName name="_____________________NEW3" localSheetId="10" hidden="1">{#N/A,#N/A,FALSE,"SMT1";#N/A,#N/A,FALSE,"SMT2";#N/A,#N/A,FALSE,"Summary";#N/A,#N/A,FALSE,"Graphs";#N/A,#N/A,FALSE,"4 Panel"}</definedName>
    <definedName name="_____________________NEW3" hidden="1">{#N/A,#N/A,FALSE,"SMT1";#N/A,#N/A,FALSE,"SMT2";#N/A,#N/A,FALSE,"Summary";#N/A,#N/A,FALSE,"Graphs";#N/A,#N/A,FALSE,"4 Panel"}</definedName>
    <definedName name="_____________________NEW4" localSheetId="10" hidden="1">{#N/A,#N/A,FALSE,"Full";#N/A,#N/A,FALSE,"Half";#N/A,#N/A,FALSE,"Op Expenses";#N/A,#N/A,FALSE,"Cap Charge";#N/A,#N/A,FALSE,"Cost C";#N/A,#N/A,FALSE,"PP&amp;E";#N/A,#N/A,FALSE,"R&amp;D"}</definedName>
    <definedName name="_____________________NEW4" hidden="1">{#N/A,#N/A,FALSE,"Full";#N/A,#N/A,FALSE,"Half";#N/A,#N/A,FALSE,"Op Expenses";#N/A,#N/A,FALSE,"Cap Charge";#N/A,#N/A,FALSE,"Cost C";#N/A,#N/A,FALSE,"PP&amp;E";#N/A,#N/A,FALSE,"R&amp;D"}</definedName>
    <definedName name="____________________new1" localSheetId="10" hidden="1">{#N/A,#N/A,FALSE,"SMT1";#N/A,#N/A,FALSE,"SMT2";#N/A,#N/A,FALSE,"Summary";#N/A,#N/A,FALSE,"Graphs";#N/A,#N/A,FALSE,"4 Panel"}</definedName>
    <definedName name="____________________new1" hidden="1">{#N/A,#N/A,FALSE,"SMT1";#N/A,#N/A,FALSE,"SMT2";#N/A,#N/A,FALSE,"Summary";#N/A,#N/A,FALSE,"Graphs";#N/A,#N/A,FALSE,"4 Panel"}</definedName>
    <definedName name="____________________NEW3" localSheetId="10" hidden="1">{#N/A,#N/A,FALSE,"SMT1";#N/A,#N/A,FALSE,"SMT2";#N/A,#N/A,FALSE,"Summary";#N/A,#N/A,FALSE,"Graphs";#N/A,#N/A,FALSE,"4 Panel"}</definedName>
    <definedName name="____________________NEW3" hidden="1">{#N/A,#N/A,FALSE,"SMT1";#N/A,#N/A,FALSE,"SMT2";#N/A,#N/A,FALSE,"Summary";#N/A,#N/A,FALSE,"Graphs";#N/A,#N/A,FALSE,"4 Panel"}</definedName>
    <definedName name="____________________NEW4" localSheetId="10" hidden="1">{#N/A,#N/A,FALSE,"Full";#N/A,#N/A,FALSE,"Half";#N/A,#N/A,FALSE,"Op Expenses";#N/A,#N/A,FALSE,"Cap Charge";#N/A,#N/A,FALSE,"Cost C";#N/A,#N/A,FALSE,"PP&amp;E";#N/A,#N/A,FALSE,"R&amp;D"}</definedName>
    <definedName name="____________________NEW4" hidden="1">{#N/A,#N/A,FALSE,"Full";#N/A,#N/A,FALSE,"Half";#N/A,#N/A,FALSE,"Op Expenses";#N/A,#N/A,FALSE,"Cap Charge";#N/A,#N/A,FALSE,"Cost C";#N/A,#N/A,FALSE,"PP&amp;E";#N/A,#N/A,FALSE,"R&amp;D"}</definedName>
    <definedName name="____________________R" localSheetId="10" hidden="1">{#N/A,#N/A,FALSE,"GRAFICO";#N/A,#N/A,FALSE,"CAJA (2)";#N/A,#N/A,FALSE,"TERCEROS-PROMEDIO";#N/A,#N/A,FALSE,"CAJA";#N/A,#N/A,FALSE,"INGRESOS1995-2003";#N/A,#N/A,FALSE,"GASTOS1995-2003"}</definedName>
    <definedName name="____________________R" hidden="1">{#N/A,#N/A,FALSE,"GRAFICO";#N/A,#N/A,FALSE,"CAJA (2)";#N/A,#N/A,FALSE,"TERCEROS-PROMEDIO";#N/A,#N/A,FALSE,"CAJA";#N/A,#N/A,FALSE,"INGRESOS1995-2003";#N/A,#N/A,FALSE,"GASTOS1995-2003"}</definedName>
    <definedName name="___________________new1" localSheetId="10" hidden="1">{#N/A,#N/A,FALSE,"SMT1";#N/A,#N/A,FALSE,"SMT2";#N/A,#N/A,FALSE,"Summary";#N/A,#N/A,FALSE,"Graphs";#N/A,#N/A,FALSE,"4 Panel"}</definedName>
    <definedName name="___________________new1" hidden="1">{#N/A,#N/A,FALSE,"SMT1";#N/A,#N/A,FALSE,"SMT2";#N/A,#N/A,FALSE,"Summary";#N/A,#N/A,FALSE,"Graphs";#N/A,#N/A,FALSE,"4 Panel"}</definedName>
    <definedName name="___________________NEW3" localSheetId="10" hidden="1">{#N/A,#N/A,FALSE,"SMT1";#N/A,#N/A,FALSE,"SMT2";#N/A,#N/A,FALSE,"Summary";#N/A,#N/A,FALSE,"Graphs";#N/A,#N/A,FALSE,"4 Panel"}</definedName>
    <definedName name="___________________NEW3" hidden="1">{#N/A,#N/A,FALSE,"SMT1";#N/A,#N/A,FALSE,"SMT2";#N/A,#N/A,FALSE,"Summary";#N/A,#N/A,FALSE,"Graphs";#N/A,#N/A,FALSE,"4 Panel"}</definedName>
    <definedName name="___________________NEW4" localSheetId="10" hidden="1">{#N/A,#N/A,FALSE,"Full";#N/A,#N/A,FALSE,"Half";#N/A,#N/A,FALSE,"Op Expenses";#N/A,#N/A,FALSE,"Cap Charge";#N/A,#N/A,FALSE,"Cost C";#N/A,#N/A,FALSE,"PP&amp;E";#N/A,#N/A,FALSE,"R&amp;D"}</definedName>
    <definedName name="___________________NEW4" hidden="1">{#N/A,#N/A,FALSE,"Full";#N/A,#N/A,FALSE,"Half";#N/A,#N/A,FALSE,"Op Expenses";#N/A,#N/A,FALSE,"Cap Charge";#N/A,#N/A,FALSE,"Cost C";#N/A,#N/A,FALSE,"PP&amp;E";#N/A,#N/A,FALSE,"R&amp;D"}</definedName>
    <definedName name="__________________new1" localSheetId="10" hidden="1">{#N/A,#N/A,FALSE,"SMT1";#N/A,#N/A,FALSE,"SMT2";#N/A,#N/A,FALSE,"Summary";#N/A,#N/A,FALSE,"Graphs";#N/A,#N/A,FALSE,"4 Panel"}</definedName>
    <definedName name="__________________new1" hidden="1">{#N/A,#N/A,FALSE,"SMT1";#N/A,#N/A,FALSE,"SMT2";#N/A,#N/A,FALSE,"Summary";#N/A,#N/A,FALSE,"Graphs";#N/A,#N/A,FALSE,"4 Panel"}</definedName>
    <definedName name="__________________NEW3" localSheetId="10" hidden="1">{#N/A,#N/A,FALSE,"SMT1";#N/A,#N/A,FALSE,"SMT2";#N/A,#N/A,FALSE,"Summary";#N/A,#N/A,FALSE,"Graphs";#N/A,#N/A,FALSE,"4 Panel"}</definedName>
    <definedName name="__________________NEW3" hidden="1">{#N/A,#N/A,FALSE,"SMT1";#N/A,#N/A,FALSE,"SMT2";#N/A,#N/A,FALSE,"Summary";#N/A,#N/A,FALSE,"Graphs";#N/A,#N/A,FALSE,"4 Panel"}</definedName>
    <definedName name="__________________NEW4" localSheetId="10" hidden="1">{#N/A,#N/A,FALSE,"Full";#N/A,#N/A,FALSE,"Half";#N/A,#N/A,FALSE,"Op Expenses";#N/A,#N/A,FALSE,"Cap Charge";#N/A,#N/A,FALSE,"Cost C";#N/A,#N/A,FALSE,"PP&amp;E";#N/A,#N/A,FALSE,"R&amp;D"}</definedName>
    <definedName name="__________________NEW4" hidden="1">{#N/A,#N/A,FALSE,"Full";#N/A,#N/A,FALSE,"Half";#N/A,#N/A,FALSE,"Op Expenses";#N/A,#N/A,FALSE,"Cap Charge";#N/A,#N/A,FALSE,"Cost C";#N/A,#N/A,FALSE,"PP&amp;E";#N/A,#N/A,FALSE,"R&amp;D"}</definedName>
    <definedName name="__________________R" localSheetId="10" hidden="1">{#N/A,#N/A,FALSE,"GRAFICO";#N/A,#N/A,FALSE,"CAJA (2)";#N/A,#N/A,FALSE,"TERCEROS-PROMEDIO";#N/A,#N/A,FALSE,"CAJA";#N/A,#N/A,FALSE,"INGRESOS1995-2003";#N/A,#N/A,FALSE,"GASTOS1995-2003"}</definedName>
    <definedName name="__________________R" hidden="1">{#N/A,#N/A,FALSE,"GRAFICO";#N/A,#N/A,FALSE,"CAJA (2)";#N/A,#N/A,FALSE,"TERCEROS-PROMEDIO";#N/A,#N/A,FALSE,"CAJA";#N/A,#N/A,FALSE,"INGRESOS1995-2003";#N/A,#N/A,FALSE,"GASTOS1995-2003"}</definedName>
    <definedName name="_________________new1" localSheetId="10" hidden="1">{#N/A,#N/A,FALSE,"SMT1";#N/A,#N/A,FALSE,"SMT2";#N/A,#N/A,FALSE,"Summary";#N/A,#N/A,FALSE,"Graphs";#N/A,#N/A,FALSE,"4 Panel"}</definedName>
    <definedName name="_________________new1" hidden="1">{#N/A,#N/A,FALSE,"SMT1";#N/A,#N/A,FALSE,"SMT2";#N/A,#N/A,FALSE,"Summary";#N/A,#N/A,FALSE,"Graphs";#N/A,#N/A,FALSE,"4 Panel"}</definedName>
    <definedName name="_________________New15" localSheetId="10" hidden="1">{"EVA",#N/A,FALSE,"SMT2";#N/A,#N/A,FALSE,"Summary";#N/A,#N/A,FALSE,"Graphs";#N/A,#N/A,FALSE,"4 Panel"}</definedName>
    <definedName name="_________________New15" hidden="1">{"EVA",#N/A,FALSE,"SMT2";#N/A,#N/A,FALSE,"Summary";#N/A,#N/A,FALSE,"Graphs";#N/A,#N/A,FALSE,"4 Panel"}</definedName>
    <definedName name="_________________New16" localSheetId="10" hidden="1">{#N/A,#N/A,FALSE,"SMT1";#N/A,#N/A,FALSE,"SMT2";#N/A,#N/A,FALSE,"Summary";#N/A,#N/A,FALSE,"Graphs";#N/A,#N/A,FALSE,"4 Panel"}</definedName>
    <definedName name="_________________New16" hidden="1">{#N/A,#N/A,FALSE,"SMT1";#N/A,#N/A,FALSE,"SMT2";#N/A,#N/A,FALSE,"Summary";#N/A,#N/A,FALSE,"Graphs";#N/A,#N/A,FALSE,"4 Panel"}</definedName>
    <definedName name="_________________New17" localSheetId="10" hidden="1">{#N/A,#N/A,FALSE,"SMT1";#N/A,#N/A,FALSE,"SMT2";#N/A,#N/A,FALSE,"Summary";#N/A,#N/A,FALSE,"Graphs";#N/A,#N/A,FALSE,"4 Panel"}</definedName>
    <definedName name="_________________New17" hidden="1">{#N/A,#N/A,FALSE,"SMT1";#N/A,#N/A,FALSE,"SMT2";#N/A,#N/A,FALSE,"Summary";#N/A,#N/A,FALSE,"Graphs";#N/A,#N/A,FALSE,"4 Panel"}</definedName>
    <definedName name="_________________New18" localSheetId="10" hidden="1">{#N/A,#N/A,FALSE,"Full";#N/A,#N/A,FALSE,"Half";#N/A,#N/A,FALSE,"Op Expenses";#N/A,#N/A,FALSE,"Cap Charge";#N/A,#N/A,FALSE,"Cost C";#N/A,#N/A,FALSE,"PP&amp;E";#N/A,#N/A,FALSE,"R&amp;D"}</definedName>
    <definedName name="_________________New18" hidden="1">{#N/A,#N/A,FALSE,"Full";#N/A,#N/A,FALSE,"Half";#N/A,#N/A,FALSE,"Op Expenses";#N/A,#N/A,FALSE,"Cap Charge";#N/A,#N/A,FALSE,"Cost C";#N/A,#N/A,FALSE,"PP&amp;E";#N/A,#N/A,FALSE,"R&amp;D"}</definedName>
    <definedName name="_________________New19" localSheetId="10" hidden="1">{"EVA",#N/A,FALSE,"SMT2";#N/A,#N/A,FALSE,"Summary";#N/A,#N/A,FALSE,"Graphs";#N/A,#N/A,FALSE,"4 Panel"}</definedName>
    <definedName name="_________________New19" hidden="1">{"EVA",#N/A,FALSE,"SMT2";#N/A,#N/A,FALSE,"Summary";#N/A,#N/A,FALSE,"Graphs";#N/A,#N/A,FALSE,"4 Panel"}</definedName>
    <definedName name="_________________New20" localSheetId="10" hidden="1">{#N/A,#N/A,FALSE,"SMT1";#N/A,#N/A,FALSE,"SMT2";#N/A,#N/A,FALSE,"Summary";#N/A,#N/A,FALSE,"Graphs";#N/A,#N/A,FALSE,"4 Panel"}</definedName>
    <definedName name="_________________New20" hidden="1">{#N/A,#N/A,FALSE,"SMT1";#N/A,#N/A,FALSE,"SMT2";#N/A,#N/A,FALSE,"Summary";#N/A,#N/A,FALSE,"Graphs";#N/A,#N/A,FALSE,"4 Panel"}</definedName>
    <definedName name="_________________New21" localSheetId="10" hidden="1">{#N/A,#N/A,FALSE,"Full";#N/A,#N/A,FALSE,"Half";#N/A,#N/A,FALSE,"Op Expenses";#N/A,#N/A,FALSE,"Cap Charge";#N/A,#N/A,FALSE,"Cost C";#N/A,#N/A,FALSE,"PP&amp;E";#N/A,#N/A,FALSE,"R&amp;D"}</definedName>
    <definedName name="_________________New21" hidden="1">{#N/A,#N/A,FALSE,"Full";#N/A,#N/A,FALSE,"Half";#N/A,#N/A,FALSE,"Op Expenses";#N/A,#N/A,FALSE,"Cap Charge";#N/A,#N/A,FALSE,"Cost C";#N/A,#N/A,FALSE,"PP&amp;E";#N/A,#N/A,FALSE,"R&amp;D"}</definedName>
    <definedName name="_________________NEW3" localSheetId="10" hidden="1">{#N/A,#N/A,FALSE,"SMT1";#N/A,#N/A,FALSE,"SMT2";#N/A,#N/A,FALSE,"Summary";#N/A,#N/A,FALSE,"Graphs";#N/A,#N/A,FALSE,"4 Panel"}</definedName>
    <definedName name="_________________NEW3" hidden="1">{#N/A,#N/A,FALSE,"SMT1";#N/A,#N/A,FALSE,"SMT2";#N/A,#N/A,FALSE,"Summary";#N/A,#N/A,FALSE,"Graphs";#N/A,#N/A,FALSE,"4 Panel"}</definedName>
    <definedName name="_________________nEW30" localSheetId="10" hidden="1">{"EVA",#N/A,FALSE,"SMT2";#N/A,#N/A,FALSE,"Summary";#N/A,#N/A,FALSE,"Graphs";#N/A,#N/A,FALSE,"4 Panel"}</definedName>
    <definedName name="_________________nEW30" hidden="1">{"EVA",#N/A,FALSE,"SMT2";#N/A,#N/A,FALSE,"Summary";#N/A,#N/A,FALSE,"Graphs";#N/A,#N/A,FALSE,"4 Panel"}</definedName>
    <definedName name="_________________New31" localSheetId="10" hidden="1">{#N/A,#N/A,FALSE,"SMT1";#N/A,#N/A,FALSE,"SMT2";#N/A,#N/A,FALSE,"Summary";#N/A,#N/A,FALSE,"Graphs";#N/A,#N/A,FALSE,"4 Panel"}</definedName>
    <definedName name="_________________New31" hidden="1">{#N/A,#N/A,FALSE,"SMT1";#N/A,#N/A,FALSE,"SMT2";#N/A,#N/A,FALSE,"Summary";#N/A,#N/A,FALSE,"Graphs";#N/A,#N/A,FALSE,"4 Panel"}</definedName>
    <definedName name="_________________New32" localSheetId="10" hidden="1">{#N/A,#N/A,FALSE,"SMT1";#N/A,#N/A,FALSE,"SMT2";#N/A,#N/A,FALSE,"Summary";#N/A,#N/A,FALSE,"Graphs";#N/A,#N/A,FALSE,"4 Panel"}</definedName>
    <definedName name="_________________New32" hidden="1">{#N/A,#N/A,FALSE,"SMT1";#N/A,#N/A,FALSE,"SMT2";#N/A,#N/A,FALSE,"Summary";#N/A,#N/A,FALSE,"Graphs";#N/A,#N/A,FALSE,"4 Panel"}</definedName>
    <definedName name="_________________New33" localSheetId="10" hidden="1">{#N/A,#N/A,FALSE,"Full";#N/A,#N/A,FALSE,"Half";#N/A,#N/A,FALSE,"Op Expenses";#N/A,#N/A,FALSE,"Cap Charge";#N/A,#N/A,FALSE,"Cost C";#N/A,#N/A,FALSE,"PP&amp;E";#N/A,#N/A,FALSE,"R&amp;D"}</definedName>
    <definedName name="_________________New33" hidden="1">{#N/A,#N/A,FALSE,"Full";#N/A,#N/A,FALSE,"Half";#N/A,#N/A,FALSE,"Op Expenses";#N/A,#N/A,FALSE,"Cap Charge";#N/A,#N/A,FALSE,"Cost C";#N/A,#N/A,FALSE,"PP&amp;E";#N/A,#N/A,FALSE,"R&amp;D"}</definedName>
    <definedName name="_________________New34" localSheetId="10" hidden="1">{"EVA",#N/A,FALSE,"SMT2";#N/A,#N/A,FALSE,"Summary";#N/A,#N/A,FALSE,"Graphs";#N/A,#N/A,FALSE,"4 Panel"}</definedName>
    <definedName name="_________________New34" hidden="1">{"EVA",#N/A,FALSE,"SMT2";#N/A,#N/A,FALSE,"Summary";#N/A,#N/A,FALSE,"Graphs";#N/A,#N/A,FALSE,"4 Panel"}</definedName>
    <definedName name="_________________New35" localSheetId="10" hidden="1">{#N/A,#N/A,FALSE,"SMT1";#N/A,#N/A,FALSE,"SMT2";#N/A,#N/A,FALSE,"Summary";#N/A,#N/A,FALSE,"Graphs";#N/A,#N/A,FALSE,"4 Panel"}</definedName>
    <definedName name="_________________New35" hidden="1">{#N/A,#N/A,FALSE,"SMT1";#N/A,#N/A,FALSE,"SMT2";#N/A,#N/A,FALSE,"Summary";#N/A,#N/A,FALSE,"Graphs";#N/A,#N/A,FALSE,"4 Panel"}</definedName>
    <definedName name="_________________New36" localSheetId="10" hidden="1">{#N/A,#N/A,FALSE,"Full";#N/A,#N/A,FALSE,"Half";#N/A,#N/A,FALSE,"Op Expenses";#N/A,#N/A,FALSE,"Cap Charge";#N/A,#N/A,FALSE,"Cost C";#N/A,#N/A,FALSE,"PP&amp;E";#N/A,#N/A,FALSE,"R&amp;D"}</definedName>
    <definedName name="_________________New36" hidden="1">{#N/A,#N/A,FALSE,"Full";#N/A,#N/A,FALSE,"Half";#N/A,#N/A,FALSE,"Op Expenses";#N/A,#N/A,FALSE,"Cap Charge";#N/A,#N/A,FALSE,"Cost C";#N/A,#N/A,FALSE,"PP&amp;E";#N/A,#N/A,FALSE,"R&amp;D"}</definedName>
    <definedName name="_________________NEW4" localSheetId="10" hidden="1">{#N/A,#N/A,FALSE,"Full";#N/A,#N/A,FALSE,"Half";#N/A,#N/A,FALSE,"Op Expenses";#N/A,#N/A,FALSE,"Cap Charge";#N/A,#N/A,FALSE,"Cost C";#N/A,#N/A,FALSE,"PP&amp;E";#N/A,#N/A,FALSE,"R&amp;D"}</definedName>
    <definedName name="_________________NEW4" hidden="1">{#N/A,#N/A,FALSE,"Full";#N/A,#N/A,FALSE,"Half";#N/A,#N/A,FALSE,"Op Expenses";#N/A,#N/A,FALSE,"Cap Charge";#N/A,#N/A,FALSE,"Cost C";#N/A,#N/A,FALSE,"PP&amp;E";#N/A,#N/A,FALSE,"R&amp;D"}</definedName>
    <definedName name="_________________R" localSheetId="10" hidden="1">{#N/A,#N/A,FALSE,"GRAFICO";#N/A,#N/A,FALSE,"CAJA (2)";#N/A,#N/A,FALSE,"TERCEROS-PROMEDIO";#N/A,#N/A,FALSE,"CAJA";#N/A,#N/A,FALSE,"INGRESOS1995-2003";#N/A,#N/A,FALSE,"GASTOS1995-2003"}</definedName>
    <definedName name="_________________R" hidden="1">{#N/A,#N/A,FALSE,"GRAFICO";#N/A,#N/A,FALSE,"CAJA (2)";#N/A,#N/A,FALSE,"TERCEROS-PROMEDIO";#N/A,#N/A,FALSE,"CAJA";#N/A,#N/A,FALSE,"INGRESOS1995-2003";#N/A,#N/A,FALSE,"GASTOS1995-2003"}</definedName>
    <definedName name="________________new1" localSheetId="10" hidden="1">{#N/A,#N/A,FALSE,"SMT1";#N/A,#N/A,FALSE,"SMT2";#N/A,#N/A,FALSE,"Summary";#N/A,#N/A,FALSE,"Graphs";#N/A,#N/A,FALSE,"4 Panel"}</definedName>
    <definedName name="________________new1" hidden="1">{#N/A,#N/A,FALSE,"SMT1";#N/A,#N/A,FALSE,"SMT2";#N/A,#N/A,FALSE,"Summary";#N/A,#N/A,FALSE,"Graphs";#N/A,#N/A,FALSE,"4 Panel"}</definedName>
    <definedName name="________________New15" localSheetId="10" hidden="1">{"EVA",#N/A,FALSE,"SMT2";#N/A,#N/A,FALSE,"Summary";#N/A,#N/A,FALSE,"Graphs";#N/A,#N/A,FALSE,"4 Panel"}</definedName>
    <definedName name="________________New15" hidden="1">{"EVA",#N/A,FALSE,"SMT2";#N/A,#N/A,FALSE,"Summary";#N/A,#N/A,FALSE,"Graphs";#N/A,#N/A,FALSE,"4 Panel"}</definedName>
    <definedName name="________________New16" localSheetId="10" hidden="1">{#N/A,#N/A,FALSE,"SMT1";#N/A,#N/A,FALSE,"SMT2";#N/A,#N/A,FALSE,"Summary";#N/A,#N/A,FALSE,"Graphs";#N/A,#N/A,FALSE,"4 Panel"}</definedName>
    <definedName name="________________New16" hidden="1">{#N/A,#N/A,FALSE,"SMT1";#N/A,#N/A,FALSE,"SMT2";#N/A,#N/A,FALSE,"Summary";#N/A,#N/A,FALSE,"Graphs";#N/A,#N/A,FALSE,"4 Panel"}</definedName>
    <definedName name="________________New17" localSheetId="10" hidden="1">{#N/A,#N/A,FALSE,"SMT1";#N/A,#N/A,FALSE,"SMT2";#N/A,#N/A,FALSE,"Summary";#N/A,#N/A,FALSE,"Graphs";#N/A,#N/A,FALSE,"4 Panel"}</definedName>
    <definedName name="________________New17" hidden="1">{#N/A,#N/A,FALSE,"SMT1";#N/A,#N/A,FALSE,"SMT2";#N/A,#N/A,FALSE,"Summary";#N/A,#N/A,FALSE,"Graphs";#N/A,#N/A,FALSE,"4 Panel"}</definedName>
    <definedName name="________________New18" localSheetId="10" hidden="1">{#N/A,#N/A,FALSE,"Full";#N/A,#N/A,FALSE,"Half";#N/A,#N/A,FALSE,"Op Expenses";#N/A,#N/A,FALSE,"Cap Charge";#N/A,#N/A,FALSE,"Cost C";#N/A,#N/A,FALSE,"PP&amp;E";#N/A,#N/A,FALSE,"R&amp;D"}</definedName>
    <definedName name="________________New18" hidden="1">{#N/A,#N/A,FALSE,"Full";#N/A,#N/A,FALSE,"Half";#N/A,#N/A,FALSE,"Op Expenses";#N/A,#N/A,FALSE,"Cap Charge";#N/A,#N/A,FALSE,"Cost C";#N/A,#N/A,FALSE,"PP&amp;E";#N/A,#N/A,FALSE,"R&amp;D"}</definedName>
    <definedName name="________________New19" localSheetId="10" hidden="1">{"EVA",#N/A,FALSE,"SMT2";#N/A,#N/A,FALSE,"Summary";#N/A,#N/A,FALSE,"Graphs";#N/A,#N/A,FALSE,"4 Panel"}</definedName>
    <definedName name="________________New19" hidden="1">{"EVA",#N/A,FALSE,"SMT2";#N/A,#N/A,FALSE,"Summary";#N/A,#N/A,FALSE,"Graphs";#N/A,#N/A,FALSE,"4 Panel"}</definedName>
    <definedName name="________________New20" localSheetId="10" hidden="1">{#N/A,#N/A,FALSE,"SMT1";#N/A,#N/A,FALSE,"SMT2";#N/A,#N/A,FALSE,"Summary";#N/A,#N/A,FALSE,"Graphs";#N/A,#N/A,FALSE,"4 Panel"}</definedName>
    <definedName name="________________New20" hidden="1">{#N/A,#N/A,FALSE,"SMT1";#N/A,#N/A,FALSE,"SMT2";#N/A,#N/A,FALSE,"Summary";#N/A,#N/A,FALSE,"Graphs";#N/A,#N/A,FALSE,"4 Panel"}</definedName>
    <definedName name="________________New21" localSheetId="10" hidden="1">{#N/A,#N/A,FALSE,"Full";#N/A,#N/A,FALSE,"Half";#N/A,#N/A,FALSE,"Op Expenses";#N/A,#N/A,FALSE,"Cap Charge";#N/A,#N/A,FALSE,"Cost C";#N/A,#N/A,FALSE,"PP&amp;E";#N/A,#N/A,FALSE,"R&amp;D"}</definedName>
    <definedName name="________________New21" hidden="1">{#N/A,#N/A,FALSE,"Full";#N/A,#N/A,FALSE,"Half";#N/A,#N/A,FALSE,"Op Expenses";#N/A,#N/A,FALSE,"Cap Charge";#N/A,#N/A,FALSE,"Cost C";#N/A,#N/A,FALSE,"PP&amp;E";#N/A,#N/A,FALSE,"R&amp;D"}</definedName>
    <definedName name="________________NEW3" localSheetId="10" hidden="1">{#N/A,#N/A,FALSE,"SMT1";#N/A,#N/A,FALSE,"SMT2";#N/A,#N/A,FALSE,"Summary";#N/A,#N/A,FALSE,"Graphs";#N/A,#N/A,FALSE,"4 Panel"}</definedName>
    <definedName name="________________NEW3" hidden="1">{#N/A,#N/A,FALSE,"SMT1";#N/A,#N/A,FALSE,"SMT2";#N/A,#N/A,FALSE,"Summary";#N/A,#N/A,FALSE,"Graphs";#N/A,#N/A,FALSE,"4 Panel"}</definedName>
    <definedName name="________________nEW30" localSheetId="10" hidden="1">{"EVA",#N/A,FALSE,"SMT2";#N/A,#N/A,FALSE,"Summary";#N/A,#N/A,FALSE,"Graphs";#N/A,#N/A,FALSE,"4 Panel"}</definedName>
    <definedName name="________________nEW30" hidden="1">{"EVA",#N/A,FALSE,"SMT2";#N/A,#N/A,FALSE,"Summary";#N/A,#N/A,FALSE,"Graphs";#N/A,#N/A,FALSE,"4 Panel"}</definedName>
    <definedName name="________________New31" localSheetId="10" hidden="1">{#N/A,#N/A,FALSE,"SMT1";#N/A,#N/A,FALSE,"SMT2";#N/A,#N/A,FALSE,"Summary";#N/A,#N/A,FALSE,"Graphs";#N/A,#N/A,FALSE,"4 Panel"}</definedName>
    <definedName name="________________New31" hidden="1">{#N/A,#N/A,FALSE,"SMT1";#N/A,#N/A,FALSE,"SMT2";#N/A,#N/A,FALSE,"Summary";#N/A,#N/A,FALSE,"Graphs";#N/A,#N/A,FALSE,"4 Panel"}</definedName>
    <definedName name="________________New32" localSheetId="10" hidden="1">{#N/A,#N/A,FALSE,"SMT1";#N/A,#N/A,FALSE,"SMT2";#N/A,#N/A,FALSE,"Summary";#N/A,#N/A,FALSE,"Graphs";#N/A,#N/A,FALSE,"4 Panel"}</definedName>
    <definedName name="________________New32" hidden="1">{#N/A,#N/A,FALSE,"SMT1";#N/A,#N/A,FALSE,"SMT2";#N/A,#N/A,FALSE,"Summary";#N/A,#N/A,FALSE,"Graphs";#N/A,#N/A,FALSE,"4 Panel"}</definedName>
    <definedName name="________________New33" localSheetId="10" hidden="1">{#N/A,#N/A,FALSE,"Full";#N/A,#N/A,FALSE,"Half";#N/A,#N/A,FALSE,"Op Expenses";#N/A,#N/A,FALSE,"Cap Charge";#N/A,#N/A,FALSE,"Cost C";#N/A,#N/A,FALSE,"PP&amp;E";#N/A,#N/A,FALSE,"R&amp;D"}</definedName>
    <definedName name="________________New33" hidden="1">{#N/A,#N/A,FALSE,"Full";#N/A,#N/A,FALSE,"Half";#N/A,#N/A,FALSE,"Op Expenses";#N/A,#N/A,FALSE,"Cap Charge";#N/A,#N/A,FALSE,"Cost C";#N/A,#N/A,FALSE,"PP&amp;E";#N/A,#N/A,FALSE,"R&amp;D"}</definedName>
    <definedName name="________________New34" localSheetId="10" hidden="1">{"EVA",#N/A,FALSE,"SMT2";#N/A,#N/A,FALSE,"Summary";#N/A,#N/A,FALSE,"Graphs";#N/A,#N/A,FALSE,"4 Panel"}</definedName>
    <definedName name="________________New34" hidden="1">{"EVA",#N/A,FALSE,"SMT2";#N/A,#N/A,FALSE,"Summary";#N/A,#N/A,FALSE,"Graphs";#N/A,#N/A,FALSE,"4 Panel"}</definedName>
    <definedName name="________________New35" localSheetId="10" hidden="1">{#N/A,#N/A,FALSE,"SMT1";#N/A,#N/A,FALSE,"SMT2";#N/A,#N/A,FALSE,"Summary";#N/A,#N/A,FALSE,"Graphs";#N/A,#N/A,FALSE,"4 Panel"}</definedName>
    <definedName name="________________New35" hidden="1">{#N/A,#N/A,FALSE,"SMT1";#N/A,#N/A,FALSE,"SMT2";#N/A,#N/A,FALSE,"Summary";#N/A,#N/A,FALSE,"Graphs";#N/A,#N/A,FALSE,"4 Panel"}</definedName>
    <definedName name="________________New36" localSheetId="10" hidden="1">{#N/A,#N/A,FALSE,"Full";#N/A,#N/A,FALSE,"Half";#N/A,#N/A,FALSE,"Op Expenses";#N/A,#N/A,FALSE,"Cap Charge";#N/A,#N/A,FALSE,"Cost C";#N/A,#N/A,FALSE,"PP&amp;E";#N/A,#N/A,FALSE,"R&amp;D"}</definedName>
    <definedName name="________________New36" hidden="1">{#N/A,#N/A,FALSE,"Full";#N/A,#N/A,FALSE,"Half";#N/A,#N/A,FALSE,"Op Expenses";#N/A,#N/A,FALSE,"Cap Charge";#N/A,#N/A,FALSE,"Cost C";#N/A,#N/A,FALSE,"PP&amp;E";#N/A,#N/A,FALSE,"R&amp;D"}</definedName>
    <definedName name="________________NEW4" localSheetId="10" hidden="1">{#N/A,#N/A,FALSE,"Full";#N/A,#N/A,FALSE,"Half";#N/A,#N/A,FALSE,"Op Expenses";#N/A,#N/A,FALSE,"Cap Charge";#N/A,#N/A,FALSE,"Cost C";#N/A,#N/A,FALSE,"PP&amp;E";#N/A,#N/A,FALSE,"R&amp;D"}</definedName>
    <definedName name="________________NEW4" hidden="1">{#N/A,#N/A,FALSE,"Full";#N/A,#N/A,FALSE,"Half";#N/A,#N/A,FALSE,"Op Expenses";#N/A,#N/A,FALSE,"Cap Charge";#N/A,#N/A,FALSE,"Cost C";#N/A,#N/A,FALSE,"PP&amp;E";#N/A,#N/A,FALSE,"R&amp;D"}</definedName>
    <definedName name="________________R" localSheetId="10" hidden="1">{#N/A,#N/A,FALSE,"GRAFICO";#N/A,#N/A,FALSE,"CAJA (2)";#N/A,#N/A,FALSE,"TERCEROS-PROMEDIO";#N/A,#N/A,FALSE,"CAJA";#N/A,#N/A,FALSE,"INGRESOS1995-2003";#N/A,#N/A,FALSE,"GASTOS1995-2003"}</definedName>
    <definedName name="________________R" hidden="1">{#N/A,#N/A,FALSE,"GRAFICO";#N/A,#N/A,FALSE,"CAJA (2)";#N/A,#N/A,FALSE,"TERCEROS-PROMEDIO";#N/A,#N/A,FALSE,"CAJA";#N/A,#N/A,FALSE,"INGRESOS1995-2003";#N/A,#N/A,FALSE,"GASTOS1995-2003"}</definedName>
    <definedName name="_______________new1" localSheetId="10" hidden="1">{#N/A,#N/A,FALSE,"SMT1";#N/A,#N/A,FALSE,"SMT2";#N/A,#N/A,FALSE,"Summary";#N/A,#N/A,FALSE,"Graphs";#N/A,#N/A,FALSE,"4 Panel"}</definedName>
    <definedName name="_______________new1" hidden="1">{#N/A,#N/A,FALSE,"SMT1";#N/A,#N/A,FALSE,"SMT2";#N/A,#N/A,FALSE,"Summary";#N/A,#N/A,FALSE,"Graphs";#N/A,#N/A,FALSE,"4 Panel"}</definedName>
    <definedName name="_______________New15" localSheetId="10" hidden="1">{"EVA",#N/A,FALSE,"SMT2";#N/A,#N/A,FALSE,"Summary";#N/A,#N/A,FALSE,"Graphs";#N/A,#N/A,FALSE,"4 Panel"}</definedName>
    <definedName name="_______________New15" hidden="1">{"EVA",#N/A,FALSE,"SMT2";#N/A,#N/A,FALSE,"Summary";#N/A,#N/A,FALSE,"Graphs";#N/A,#N/A,FALSE,"4 Panel"}</definedName>
    <definedName name="_______________New16" localSheetId="10" hidden="1">{#N/A,#N/A,FALSE,"SMT1";#N/A,#N/A,FALSE,"SMT2";#N/A,#N/A,FALSE,"Summary";#N/A,#N/A,FALSE,"Graphs";#N/A,#N/A,FALSE,"4 Panel"}</definedName>
    <definedName name="_______________New16" hidden="1">{#N/A,#N/A,FALSE,"SMT1";#N/A,#N/A,FALSE,"SMT2";#N/A,#N/A,FALSE,"Summary";#N/A,#N/A,FALSE,"Graphs";#N/A,#N/A,FALSE,"4 Panel"}</definedName>
    <definedName name="_______________New17" localSheetId="10" hidden="1">{#N/A,#N/A,FALSE,"SMT1";#N/A,#N/A,FALSE,"SMT2";#N/A,#N/A,FALSE,"Summary";#N/A,#N/A,FALSE,"Graphs";#N/A,#N/A,FALSE,"4 Panel"}</definedName>
    <definedName name="_______________New17" hidden="1">{#N/A,#N/A,FALSE,"SMT1";#N/A,#N/A,FALSE,"SMT2";#N/A,#N/A,FALSE,"Summary";#N/A,#N/A,FALSE,"Graphs";#N/A,#N/A,FALSE,"4 Panel"}</definedName>
    <definedName name="_______________New18" localSheetId="10" hidden="1">{#N/A,#N/A,FALSE,"Full";#N/A,#N/A,FALSE,"Half";#N/A,#N/A,FALSE,"Op Expenses";#N/A,#N/A,FALSE,"Cap Charge";#N/A,#N/A,FALSE,"Cost C";#N/A,#N/A,FALSE,"PP&amp;E";#N/A,#N/A,FALSE,"R&amp;D"}</definedName>
    <definedName name="_______________New18" hidden="1">{#N/A,#N/A,FALSE,"Full";#N/A,#N/A,FALSE,"Half";#N/A,#N/A,FALSE,"Op Expenses";#N/A,#N/A,FALSE,"Cap Charge";#N/A,#N/A,FALSE,"Cost C";#N/A,#N/A,FALSE,"PP&amp;E";#N/A,#N/A,FALSE,"R&amp;D"}</definedName>
    <definedName name="_______________New19" localSheetId="10" hidden="1">{"EVA",#N/A,FALSE,"SMT2";#N/A,#N/A,FALSE,"Summary";#N/A,#N/A,FALSE,"Graphs";#N/A,#N/A,FALSE,"4 Panel"}</definedName>
    <definedName name="_______________New19" hidden="1">{"EVA",#N/A,FALSE,"SMT2";#N/A,#N/A,FALSE,"Summary";#N/A,#N/A,FALSE,"Graphs";#N/A,#N/A,FALSE,"4 Panel"}</definedName>
    <definedName name="_______________New20" localSheetId="10" hidden="1">{#N/A,#N/A,FALSE,"SMT1";#N/A,#N/A,FALSE,"SMT2";#N/A,#N/A,FALSE,"Summary";#N/A,#N/A,FALSE,"Graphs";#N/A,#N/A,FALSE,"4 Panel"}</definedName>
    <definedName name="_______________New20" hidden="1">{#N/A,#N/A,FALSE,"SMT1";#N/A,#N/A,FALSE,"SMT2";#N/A,#N/A,FALSE,"Summary";#N/A,#N/A,FALSE,"Graphs";#N/A,#N/A,FALSE,"4 Panel"}</definedName>
    <definedName name="_______________New21" localSheetId="10" hidden="1">{#N/A,#N/A,FALSE,"Full";#N/A,#N/A,FALSE,"Half";#N/A,#N/A,FALSE,"Op Expenses";#N/A,#N/A,FALSE,"Cap Charge";#N/A,#N/A,FALSE,"Cost C";#N/A,#N/A,FALSE,"PP&amp;E";#N/A,#N/A,FALSE,"R&amp;D"}</definedName>
    <definedName name="_______________New21" hidden="1">{#N/A,#N/A,FALSE,"Full";#N/A,#N/A,FALSE,"Half";#N/A,#N/A,FALSE,"Op Expenses";#N/A,#N/A,FALSE,"Cap Charge";#N/A,#N/A,FALSE,"Cost C";#N/A,#N/A,FALSE,"PP&amp;E";#N/A,#N/A,FALSE,"R&amp;D"}</definedName>
    <definedName name="_______________NEW3" localSheetId="10" hidden="1">{#N/A,#N/A,FALSE,"SMT1";#N/A,#N/A,FALSE,"SMT2";#N/A,#N/A,FALSE,"Summary";#N/A,#N/A,FALSE,"Graphs";#N/A,#N/A,FALSE,"4 Panel"}</definedName>
    <definedName name="_______________NEW3" hidden="1">{#N/A,#N/A,FALSE,"SMT1";#N/A,#N/A,FALSE,"SMT2";#N/A,#N/A,FALSE,"Summary";#N/A,#N/A,FALSE,"Graphs";#N/A,#N/A,FALSE,"4 Panel"}</definedName>
    <definedName name="_______________nEW30" localSheetId="10" hidden="1">{"EVA",#N/A,FALSE,"SMT2";#N/A,#N/A,FALSE,"Summary";#N/A,#N/A,FALSE,"Graphs";#N/A,#N/A,FALSE,"4 Panel"}</definedName>
    <definedName name="_______________nEW30" hidden="1">{"EVA",#N/A,FALSE,"SMT2";#N/A,#N/A,FALSE,"Summary";#N/A,#N/A,FALSE,"Graphs";#N/A,#N/A,FALSE,"4 Panel"}</definedName>
    <definedName name="_______________New31" localSheetId="10" hidden="1">{#N/A,#N/A,FALSE,"SMT1";#N/A,#N/A,FALSE,"SMT2";#N/A,#N/A,FALSE,"Summary";#N/A,#N/A,FALSE,"Graphs";#N/A,#N/A,FALSE,"4 Panel"}</definedName>
    <definedName name="_______________New31" hidden="1">{#N/A,#N/A,FALSE,"SMT1";#N/A,#N/A,FALSE,"SMT2";#N/A,#N/A,FALSE,"Summary";#N/A,#N/A,FALSE,"Graphs";#N/A,#N/A,FALSE,"4 Panel"}</definedName>
    <definedName name="_______________New32" localSheetId="10" hidden="1">{#N/A,#N/A,FALSE,"SMT1";#N/A,#N/A,FALSE,"SMT2";#N/A,#N/A,FALSE,"Summary";#N/A,#N/A,FALSE,"Graphs";#N/A,#N/A,FALSE,"4 Panel"}</definedName>
    <definedName name="_______________New32" hidden="1">{#N/A,#N/A,FALSE,"SMT1";#N/A,#N/A,FALSE,"SMT2";#N/A,#N/A,FALSE,"Summary";#N/A,#N/A,FALSE,"Graphs";#N/A,#N/A,FALSE,"4 Panel"}</definedName>
    <definedName name="_______________New33" localSheetId="10" hidden="1">{#N/A,#N/A,FALSE,"Full";#N/A,#N/A,FALSE,"Half";#N/A,#N/A,FALSE,"Op Expenses";#N/A,#N/A,FALSE,"Cap Charge";#N/A,#N/A,FALSE,"Cost C";#N/A,#N/A,FALSE,"PP&amp;E";#N/A,#N/A,FALSE,"R&amp;D"}</definedName>
    <definedName name="_______________New33" hidden="1">{#N/A,#N/A,FALSE,"Full";#N/A,#N/A,FALSE,"Half";#N/A,#N/A,FALSE,"Op Expenses";#N/A,#N/A,FALSE,"Cap Charge";#N/A,#N/A,FALSE,"Cost C";#N/A,#N/A,FALSE,"PP&amp;E";#N/A,#N/A,FALSE,"R&amp;D"}</definedName>
    <definedName name="_______________New34" localSheetId="10" hidden="1">{"EVA",#N/A,FALSE,"SMT2";#N/A,#N/A,FALSE,"Summary";#N/A,#N/A,FALSE,"Graphs";#N/A,#N/A,FALSE,"4 Panel"}</definedName>
    <definedName name="_______________New34" hidden="1">{"EVA",#N/A,FALSE,"SMT2";#N/A,#N/A,FALSE,"Summary";#N/A,#N/A,FALSE,"Graphs";#N/A,#N/A,FALSE,"4 Panel"}</definedName>
    <definedName name="_______________New35" localSheetId="10" hidden="1">{#N/A,#N/A,FALSE,"SMT1";#N/A,#N/A,FALSE,"SMT2";#N/A,#N/A,FALSE,"Summary";#N/A,#N/A,FALSE,"Graphs";#N/A,#N/A,FALSE,"4 Panel"}</definedName>
    <definedName name="_______________New35" hidden="1">{#N/A,#N/A,FALSE,"SMT1";#N/A,#N/A,FALSE,"SMT2";#N/A,#N/A,FALSE,"Summary";#N/A,#N/A,FALSE,"Graphs";#N/A,#N/A,FALSE,"4 Panel"}</definedName>
    <definedName name="_______________New36" localSheetId="10" hidden="1">{#N/A,#N/A,FALSE,"Full";#N/A,#N/A,FALSE,"Half";#N/A,#N/A,FALSE,"Op Expenses";#N/A,#N/A,FALSE,"Cap Charge";#N/A,#N/A,FALSE,"Cost C";#N/A,#N/A,FALSE,"PP&amp;E";#N/A,#N/A,FALSE,"R&amp;D"}</definedName>
    <definedName name="_______________New36" hidden="1">{#N/A,#N/A,FALSE,"Full";#N/A,#N/A,FALSE,"Half";#N/A,#N/A,FALSE,"Op Expenses";#N/A,#N/A,FALSE,"Cap Charge";#N/A,#N/A,FALSE,"Cost C";#N/A,#N/A,FALSE,"PP&amp;E";#N/A,#N/A,FALSE,"R&amp;D"}</definedName>
    <definedName name="_______________NEW4" localSheetId="10" hidden="1">{#N/A,#N/A,FALSE,"Full";#N/A,#N/A,FALSE,"Half";#N/A,#N/A,FALSE,"Op Expenses";#N/A,#N/A,FALSE,"Cap Charge";#N/A,#N/A,FALSE,"Cost C";#N/A,#N/A,FALSE,"PP&amp;E";#N/A,#N/A,FALSE,"R&amp;D"}</definedName>
    <definedName name="_______________NEW4" hidden="1">{#N/A,#N/A,FALSE,"Full";#N/A,#N/A,FALSE,"Half";#N/A,#N/A,FALSE,"Op Expenses";#N/A,#N/A,FALSE,"Cap Charge";#N/A,#N/A,FALSE,"Cost C";#N/A,#N/A,FALSE,"PP&amp;E";#N/A,#N/A,FALSE,"R&amp;D"}</definedName>
    <definedName name="_______________R" localSheetId="10" hidden="1">{#N/A,#N/A,FALSE,"GRAFICO";#N/A,#N/A,FALSE,"CAJA (2)";#N/A,#N/A,FALSE,"TERCEROS-PROMEDIO";#N/A,#N/A,FALSE,"CAJA";#N/A,#N/A,FALSE,"INGRESOS1995-2003";#N/A,#N/A,FALSE,"GASTOS1995-2003"}</definedName>
    <definedName name="_______________R" hidden="1">{#N/A,#N/A,FALSE,"GRAFICO";#N/A,#N/A,FALSE,"CAJA (2)";#N/A,#N/A,FALSE,"TERCEROS-PROMEDIO";#N/A,#N/A,FALSE,"CAJA";#N/A,#N/A,FALSE,"INGRESOS1995-2003";#N/A,#N/A,FALSE,"GASTOS1995-2003"}</definedName>
    <definedName name="______________new1" localSheetId="10" hidden="1">{#N/A,#N/A,FALSE,"SMT1";#N/A,#N/A,FALSE,"SMT2";#N/A,#N/A,FALSE,"Summary";#N/A,#N/A,FALSE,"Graphs";#N/A,#N/A,FALSE,"4 Panel"}</definedName>
    <definedName name="______________new1" hidden="1">{#N/A,#N/A,FALSE,"SMT1";#N/A,#N/A,FALSE,"SMT2";#N/A,#N/A,FALSE,"Summary";#N/A,#N/A,FALSE,"Graphs";#N/A,#N/A,FALSE,"4 Panel"}</definedName>
    <definedName name="______________New15" localSheetId="10" hidden="1">{"EVA",#N/A,FALSE,"SMT2";#N/A,#N/A,FALSE,"Summary";#N/A,#N/A,FALSE,"Graphs";#N/A,#N/A,FALSE,"4 Panel"}</definedName>
    <definedName name="______________New15" hidden="1">{"EVA",#N/A,FALSE,"SMT2";#N/A,#N/A,FALSE,"Summary";#N/A,#N/A,FALSE,"Graphs";#N/A,#N/A,FALSE,"4 Panel"}</definedName>
    <definedName name="______________New16" localSheetId="10" hidden="1">{#N/A,#N/A,FALSE,"SMT1";#N/A,#N/A,FALSE,"SMT2";#N/A,#N/A,FALSE,"Summary";#N/A,#N/A,FALSE,"Graphs";#N/A,#N/A,FALSE,"4 Panel"}</definedName>
    <definedName name="______________New16" hidden="1">{#N/A,#N/A,FALSE,"SMT1";#N/A,#N/A,FALSE,"SMT2";#N/A,#N/A,FALSE,"Summary";#N/A,#N/A,FALSE,"Graphs";#N/A,#N/A,FALSE,"4 Panel"}</definedName>
    <definedName name="______________New17" localSheetId="10" hidden="1">{#N/A,#N/A,FALSE,"SMT1";#N/A,#N/A,FALSE,"SMT2";#N/A,#N/A,FALSE,"Summary";#N/A,#N/A,FALSE,"Graphs";#N/A,#N/A,FALSE,"4 Panel"}</definedName>
    <definedName name="______________New17" hidden="1">{#N/A,#N/A,FALSE,"SMT1";#N/A,#N/A,FALSE,"SMT2";#N/A,#N/A,FALSE,"Summary";#N/A,#N/A,FALSE,"Graphs";#N/A,#N/A,FALSE,"4 Panel"}</definedName>
    <definedName name="______________New18" localSheetId="10" hidden="1">{#N/A,#N/A,FALSE,"Full";#N/A,#N/A,FALSE,"Half";#N/A,#N/A,FALSE,"Op Expenses";#N/A,#N/A,FALSE,"Cap Charge";#N/A,#N/A,FALSE,"Cost C";#N/A,#N/A,FALSE,"PP&amp;E";#N/A,#N/A,FALSE,"R&amp;D"}</definedName>
    <definedName name="______________New18" hidden="1">{#N/A,#N/A,FALSE,"Full";#N/A,#N/A,FALSE,"Half";#N/A,#N/A,FALSE,"Op Expenses";#N/A,#N/A,FALSE,"Cap Charge";#N/A,#N/A,FALSE,"Cost C";#N/A,#N/A,FALSE,"PP&amp;E";#N/A,#N/A,FALSE,"R&amp;D"}</definedName>
    <definedName name="______________New19" localSheetId="10" hidden="1">{"EVA",#N/A,FALSE,"SMT2";#N/A,#N/A,FALSE,"Summary";#N/A,#N/A,FALSE,"Graphs";#N/A,#N/A,FALSE,"4 Panel"}</definedName>
    <definedName name="______________New19" hidden="1">{"EVA",#N/A,FALSE,"SMT2";#N/A,#N/A,FALSE,"Summary";#N/A,#N/A,FALSE,"Graphs";#N/A,#N/A,FALSE,"4 Panel"}</definedName>
    <definedName name="______________New20" localSheetId="10" hidden="1">{#N/A,#N/A,FALSE,"SMT1";#N/A,#N/A,FALSE,"SMT2";#N/A,#N/A,FALSE,"Summary";#N/A,#N/A,FALSE,"Graphs";#N/A,#N/A,FALSE,"4 Panel"}</definedName>
    <definedName name="______________New20" hidden="1">{#N/A,#N/A,FALSE,"SMT1";#N/A,#N/A,FALSE,"SMT2";#N/A,#N/A,FALSE,"Summary";#N/A,#N/A,FALSE,"Graphs";#N/A,#N/A,FALSE,"4 Panel"}</definedName>
    <definedName name="______________New21" localSheetId="10" hidden="1">{#N/A,#N/A,FALSE,"Full";#N/A,#N/A,FALSE,"Half";#N/A,#N/A,FALSE,"Op Expenses";#N/A,#N/A,FALSE,"Cap Charge";#N/A,#N/A,FALSE,"Cost C";#N/A,#N/A,FALSE,"PP&amp;E";#N/A,#N/A,FALSE,"R&amp;D"}</definedName>
    <definedName name="______________New21" hidden="1">{#N/A,#N/A,FALSE,"Full";#N/A,#N/A,FALSE,"Half";#N/A,#N/A,FALSE,"Op Expenses";#N/A,#N/A,FALSE,"Cap Charge";#N/A,#N/A,FALSE,"Cost C";#N/A,#N/A,FALSE,"PP&amp;E";#N/A,#N/A,FALSE,"R&amp;D"}</definedName>
    <definedName name="______________NEW3" localSheetId="10" hidden="1">{#N/A,#N/A,FALSE,"SMT1";#N/A,#N/A,FALSE,"SMT2";#N/A,#N/A,FALSE,"Summary";#N/A,#N/A,FALSE,"Graphs";#N/A,#N/A,FALSE,"4 Panel"}</definedName>
    <definedName name="______________NEW3" hidden="1">{#N/A,#N/A,FALSE,"SMT1";#N/A,#N/A,FALSE,"SMT2";#N/A,#N/A,FALSE,"Summary";#N/A,#N/A,FALSE,"Graphs";#N/A,#N/A,FALSE,"4 Panel"}</definedName>
    <definedName name="______________nEW30" localSheetId="10" hidden="1">{"EVA",#N/A,FALSE,"SMT2";#N/A,#N/A,FALSE,"Summary";#N/A,#N/A,FALSE,"Graphs";#N/A,#N/A,FALSE,"4 Panel"}</definedName>
    <definedName name="______________nEW30" hidden="1">{"EVA",#N/A,FALSE,"SMT2";#N/A,#N/A,FALSE,"Summary";#N/A,#N/A,FALSE,"Graphs";#N/A,#N/A,FALSE,"4 Panel"}</definedName>
    <definedName name="______________New31" localSheetId="10" hidden="1">{#N/A,#N/A,FALSE,"SMT1";#N/A,#N/A,FALSE,"SMT2";#N/A,#N/A,FALSE,"Summary";#N/A,#N/A,FALSE,"Graphs";#N/A,#N/A,FALSE,"4 Panel"}</definedName>
    <definedName name="______________New31" hidden="1">{#N/A,#N/A,FALSE,"SMT1";#N/A,#N/A,FALSE,"SMT2";#N/A,#N/A,FALSE,"Summary";#N/A,#N/A,FALSE,"Graphs";#N/A,#N/A,FALSE,"4 Panel"}</definedName>
    <definedName name="______________New32" localSheetId="10" hidden="1">{#N/A,#N/A,FALSE,"SMT1";#N/A,#N/A,FALSE,"SMT2";#N/A,#N/A,FALSE,"Summary";#N/A,#N/A,FALSE,"Graphs";#N/A,#N/A,FALSE,"4 Panel"}</definedName>
    <definedName name="______________New32" hidden="1">{#N/A,#N/A,FALSE,"SMT1";#N/A,#N/A,FALSE,"SMT2";#N/A,#N/A,FALSE,"Summary";#N/A,#N/A,FALSE,"Graphs";#N/A,#N/A,FALSE,"4 Panel"}</definedName>
    <definedName name="______________New33" localSheetId="10" hidden="1">{#N/A,#N/A,FALSE,"Full";#N/A,#N/A,FALSE,"Half";#N/A,#N/A,FALSE,"Op Expenses";#N/A,#N/A,FALSE,"Cap Charge";#N/A,#N/A,FALSE,"Cost C";#N/A,#N/A,FALSE,"PP&amp;E";#N/A,#N/A,FALSE,"R&amp;D"}</definedName>
    <definedName name="______________New33" hidden="1">{#N/A,#N/A,FALSE,"Full";#N/A,#N/A,FALSE,"Half";#N/A,#N/A,FALSE,"Op Expenses";#N/A,#N/A,FALSE,"Cap Charge";#N/A,#N/A,FALSE,"Cost C";#N/A,#N/A,FALSE,"PP&amp;E";#N/A,#N/A,FALSE,"R&amp;D"}</definedName>
    <definedName name="______________New34" localSheetId="10" hidden="1">{"EVA",#N/A,FALSE,"SMT2";#N/A,#N/A,FALSE,"Summary";#N/A,#N/A,FALSE,"Graphs";#N/A,#N/A,FALSE,"4 Panel"}</definedName>
    <definedName name="______________New34" hidden="1">{"EVA",#N/A,FALSE,"SMT2";#N/A,#N/A,FALSE,"Summary";#N/A,#N/A,FALSE,"Graphs";#N/A,#N/A,FALSE,"4 Panel"}</definedName>
    <definedName name="______________New35" localSheetId="10" hidden="1">{#N/A,#N/A,FALSE,"SMT1";#N/A,#N/A,FALSE,"SMT2";#N/A,#N/A,FALSE,"Summary";#N/A,#N/A,FALSE,"Graphs";#N/A,#N/A,FALSE,"4 Panel"}</definedName>
    <definedName name="______________New35" hidden="1">{#N/A,#N/A,FALSE,"SMT1";#N/A,#N/A,FALSE,"SMT2";#N/A,#N/A,FALSE,"Summary";#N/A,#N/A,FALSE,"Graphs";#N/A,#N/A,FALSE,"4 Panel"}</definedName>
    <definedName name="______________New36" localSheetId="10" hidden="1">{#N/A,#N/A,FALSE,"Full";#N/A,#N/A,FALSE,"Half";#N/A,#N/A,FALSE,"Op Expenses";#N/A,#N/A,FALSE,"Cap Charge";#N/A,#N/A,FALSE,"Cost C";#N/A,#N/A,FALSE,"PP&amp;E";#N/A,#N/A,FALSE,"R&amp;D"}</definedName>
    <definedName name="______________New36" hidden="1">{#N/A,#N/A,FALSE,"Full";#N/A,#N/A,FALSE,"Half";#N/A,#N/A,FALSE,"Op Expenses";#N/A,#N/A,FALSE,"Cap Charge";#N/A,#N/A,FALSE,"Cost C";#N/A,#N/A,FALSE,"PP&amp;E";#N/A,#N/A,FALSE,"R&amp;D"}</definedName>
    <definedName name="______________NEW4" localSheetId="10" hidden="1">{#N/A,#N/A,FALSE,"Full";#N/A,#N/A,FALSE,"Half";#N/A,#N/A,FALSE,"Op Expenses";#N/A,#N/A,FALSE,"Cap Charge";#N/A,#N/A,FALSE,"Cost C";#N/A,#N/A,FALSE,"PP&amp;E";#N/A,#N/A,FALSE,"R&amp;D"}</definedName>
    <definedName name="______________NEW4" hidden="1">{#N/A,#N/A,FALSE,"Full";#N/A,#N/A,FALSE,"Half";#N/A,#N/A,FALSE,"Op Expenses";#N/A,#N/A,FALSE,"Cap Charge";#N/A,#N/A,FALSE,"Cost C";#N/A,#N/A,FALSE,"PP&amp;E";#N/A,#N/A,FALSE,"R&amp;D"}</definedName>
    <definedName name="_____________new1" localSheetId="10" hidden="1">{#N/A,#N/A,FALSE,"SMT1";#N/A,#N/A,FALSE,"SMT2";#N/A,#N/A,FALSE,"Summary";#N/A,#N/A,FALSE,"Graphs";#N/A,#N/A,FALSE,"4 Panel"}</definedName>
    <definedName name="_____________new1" hidden="1">{#N/A,#N/A,FALSE,"SMT1";#N/A,#N/A,FALSE,"SMT2";#N/A,#N/A,FALSE,"Summary";#N/A,#N/A,FALSE,"Graphs";#N/A,#N/A,FALSE,"4 Panel"}</definedName>
    <definedName name="_____________New15" localSheetId="10" hidden="1">{"EVA",#N/A,FALSE,"SMT2";#N/A,#N/A,FALSE,"Summary";#N/A,#N/A,FALSE,"Graphs";#N/A,#N/A,FALSE,"4 Panel"}</definedName>
    <definedName name="_____________New15" hidden="1">{"EVA",#N/A,FALSE,"SMT2";#N/A,#N/A,FALSE,"Summary";#N/A,#N/A,FALSE,"Graphs";#N/A,#N/A,FALSE,"4 Panel"}</definedName>
    <definedName name="_____________New16" localSheetId="10" hidden="1">{#N/A,#N/A,FALSE,"SMT1";#N/A,#N/A,FALSE,"SMT2";#N/A,#N/A,FALSE,"Summary";#N/A,#N/A,FALSE,"Graphs";#N/A,#N/A,FALSE,"4 Panel"}</definedName>
    <definedName name="_____________New16" hidden="1">{#N/A,#N/A,FALSE,"SMT1";#N/A,#N/A,FALSE,"SMT2";#N/A,#N/A,FALSE,"Summary";#N/A,#N/A,FALSE,"Graphs";#N/A,#N/A,FALSE,"4 Panel"}</definedName>
    <definedName name="_____________New17" localSheetId="10" hidden="1">{#N/A,#N/A,FALSE,"SMT1";#N/A,#N/A,FALSE,"SMT2";#N/A,#N/A,FALSE,"Summary";#N/A,#N/A,FALSE,"Graphs";#N/A,#N/A,FALSE,"4 Panel"}</definedName>
    <definedName name="_____________New17" hidden="1">{#N/A,#N/A,FALSE,"SMT1";#N/A,#N/A,FALSE,"SMT2";#N/A,#N/A,FALSE,"Summary";#N/A,#N/A,FALSE,"Graphs";#N/A,#N/A,FALSE,"4 Panel"}</definedName>
    <definedName name="_____________New18" localSheetId="10" hidden="1">{#N/A,#N/A,FALSE,"Full";#N/A,#N/A,FALSE,"Half";#N/A,#N/A,FALSE,"Op Expenses";#N/A,#N/A,FALSE,"Cap Charge";#N/A,#N/A,FALSE,"Cost C";#N/A,#N/A,FALSE,"PP&amp;E";#N/A,#N/A,FALSE,"R&amp;D"}</definedName>
    <definedName name="_____________New18" hidden="1">{#N/A,#N/A,FALSE,"Full";#N/A,#N/A,FALSE,"Half";#N/A,#N/A,FALSE,"Op Expenses";#N/A,#N/A,FALSE,"Cap Charge";#N/A,#N/A,FALSE,"Cost C";#N/A,#N/A,FALSE,"PP&amp;E";#N/A,#N/A,FALSE,"R&amp;D"}</definedName>
    <definedName name="_____________New19" localSheetId="10" hidden="1">{"EVA",#N/A,FALSE,"SMT2";#N/A,#N/A,FALSE,"Summary";#N/A,#N/A,FALSE,"Graphs";#N/A,#N/A,FALSE,"4 Panel"}</definedName>
    <definedName name="_____________New19" hidden="1">{"EVA",#N/A,FALSE,"SMT2";#N/A,#N/A,FALSE,"Summary";#N/A,#N/A,FALSE,"Graphs";#N/A,#N/A,FALSE,"4 Panel"}</definedName>
    <definedName name="_____________New20" localSheetId="10" hidden="1">{#N/A,#N/A,FALSE,"SMT1";#N/A,#N/A,FALSE,"SMT2";#N/A,#N/A,FALSE,"Summary";#N/A,#N/A,FALSE,"Graphs";#N/A,#N/A,FALSE,"4 Panel"}</definedName>
    <definedName name="_____________New20" hidden="1">{#N/A,#N/A,FALSE,"SMT1";#N/A,#N/A,FALSE,"SMT2";#N/A,#N/A,FALSE,"Summary";#N/A,#N/A,FALSE,"Graphs";#N/A,#N/A,FALSE,"4 Panel"}</definedName>
    <definedName name="_____________New21" localSheetId="10" hidden="1">{#N/A,#N/A,FALSE,"Full";#N/A,#N/A,FALSE,"Half";#N/A,#N/A,FALSE,"Op Expenses";#N/A,#N/A,FALSE,"Cap Charge";#N/A,#N/A,FALSE,"Cost C";#N/A,#N/A,FALSE,"PP&amp;E";#N/A,#N/A,FALSE,"R&amp;D"}</definedName>
    <definedName name="_____________New21" hidden="1">{#N/A,#N/A,FALSE,"Full";#N/A,#N/A,FALSE,"Half";#N/A,#N/A,FALSE,"Op Expenses";#N/A,#N/A,FALSE,"Cap Charge";#N/A,#N/A,FALSE,"Cost C";#N/A,#N/A,FALSE,"PP&amp;E";#N/A,#N/A,FALSE,"R&amp;D"}</definedName>
    <definedName name="_____________NEW3" localSheetId="10" hidden="1">{#N/A,#N/A,FALSE,"SMT1";#N/A,#N/A,FALSE,"SMT2";#N/A,#N/A,FALSE,"Summary";#N/A,#N/A,FALSE,"Graphs";#N/A,#N/A,FALSE,"4 Panel"}</definedName>
    <definedName name="_____________NEW3" hidden="1">{#N/A,#N/A,FALSE,"SMT1";#N/A,#N/A,FALSE,"SMT2";#N/A,#N/A,FALSE,"Summary";#N/A,#N/A,FALSE,"Graphs";#N/A,#N/A,FALSE,"4 Panel"}</definedName>
    <definedName name="_____________nEW30" localSheetId="10" hidden="1">{"EVA",#N/A,FALSE,"SMT2";#N/A,#N/A,FALSE,"Summary";#N/A,#N/A,FALSE,"Graphs";#N/A,#N/A,FALSE,"4 Panel"}</definedName>
    <definedName name="_____________nEW30" hidden="1">{"EVA",#N/A,FALSE,"SMT2";#N/A,#N/A,FALSE,"Summary";#N/A,#N/A,FALSE,"Graphs";#N/A,#N/A,FALSE,"4 Panel"}</definedName>
    <definedName name="_____________New31" localSheetId="10" hidden="1">{#N/A,#N/A,FALSE,"SMT1";#N/A,#N/A,FALSE,"SMT2";#N/A,#N/A,FALSE,"Summary";#N/A,#N/A,FALSE,"Graphs";#N/A,#N/A,FALSE,"4 Panel"}</definedName>
    <definedName name="_____________New31" hidden="1">{#N/A,#N/A,FALSE,"SMT1";#N/A,#N/A,FALSE,"SMT2";#N/A,#N/A,FALSE,"Summary";#N/A,#N/A,FALSE,"Graphs";#N/A,#N/A,FALSE,"4 Panel"}</definedName>
    <definedName name="_____________New32" localSheetId="10" hidden="1">{#N/A,#N/A,FALSE,"SMT1";#N/A,#N/A,FALSE,"SMT2";#N/A,#N/A,FALSE,"Summary";#N/A,#N/A,FALSE,"Graphs";#N/A,#N/A,FALSE,"4 Panel"}</definedName>
    <definedName name="_____________New32" hidden="1">{#N/A,#N/A,FALSE,"SMT1";#N/A,#N/A,FALSE,"SMT2";#N/A,#N/A,FALSE,"Summary";#N/A,#N/A,FALSE,"Graphs";#N/A,#N/A,FALSE,"4 Panel"}</definedName>
    <definedName name="_____________New33" localSheetId="10" hidden="1">{#N/A,#N/A,FALSE,"Full";#N/A,#N/A,FALSE,"Half";#N/A,#N/A,FALSE,"Op Expenses";#N/A,#N/A,FALSE,"Cap Charge";#N/A,#N/A,FALSE,"Cost C";#N/A,#N/A,FALSE,"PP&amp;E";#N/A,#N/A,FALSE,"R&amp;D"}</definedName>
    <definedName name="_____________New33" hidden="1">{#N/A,#N/A,FALSE,"Full";#N/A,#N/A,FALSE,"Half";#N/A,#N/A,FALSE,"Op Expenses";#N/A,#N/A,FALSE,"Cap Charge";#N/A,#N/A,FALSE,"Cost C";#N/A,#N/A,FALSE,"PP&amp;E";#N/A,#N/A,FALSE,"R&amp;D"}</definedName>
    <definedName name="_____________New34" localSheetId="10" hidden="1">{"EVA",#N/A,FALSE,"SMT2";#N/A,#N/A,FALSE,"Summary";#N/A,#N/A,FALSE,"Graphs";#N/A,#N/A,FALSE,"4 Panel"}</definedName>
    <definedName name="_____________New34" hidden="1">{"EVA",#N/A,FALSE,"SMT2";#N/A,#N/A,FALSE,"Summary";#N/A,#N/A,FALSE,"Graphs";#N/A,#N/A,FALSE,"4 Panel"}</definedName>
    <definedName name="_____________New35" localSheetId="10" hidden="1">{#N/A,#N/A,FALSE,"SMT1";#N/A,#N/A,FALSE,"SMT2";#N/A,#N/A,FALSE,"Summary";#N/A,#N/A,FALSE,"Graphs";#N/A,#N/A,FALSE,"4 Panel"}</definedName>
    <definedName name="_____________New35" hidden="1">{#N/A,#N/A,FALSE,"SMT1";#N/A,#N/A,FALSE,"SMT2";#N/A,#N/A,FALSE,"Summary";#N/A,#N/A,FALSE,"Graphs";#N/A,#N/A,FALSE,"4 Panel"}</definedName>
    <definedName name="_____________New36" localSheetId="10" hidden="1">{#N/A,#N/A,FALSE,"Full";#N/A,#N/A,FALSE,"Half";#N/A,#N/A,FALSE,"Op Expenses";#N/A,#N/A,FALSE,"Cap Charge";#N/A,#N/A,FALSE,"Cost C";#N/A,#N/A,FALSE,"PP&amp;E";#N/A,#N/A,FALSE,"R&amp;D"}</definedName>
    <definedName name="_____________New36" hidden="1">{#N/A,#N/A,FALSE,"Full";#N/A,#N/A,FALSE,"Half";#N/A,#N/A,FALSE,"Op Expenses";#N/A,#N/A,FALSE,"Cap Charge";#N/A,#N/A,FALSE,"Cost C";#N/A,#N/A,FALSE,"PP&amp;E";#N/A,#N/A,FALSE,"R&amp;D"}</definedName>
    <definedName name="_____________NEW4" localSheetId="10" hidden="1">{#N/A,#N/A,FALSE,"Full";#N/A,#N/A,FALSE,"Half";#N/A,#N/A,FALSE,"Op Expenses";#N/A,#N/A,FALSE,"Cap Charge";#N/A,#N/A,FALSE,"Cost C";#N/A,#N/A,FALSE,"PP&amp;E";#N/A,#N/A,FALSE,"R&amp;D"}</definedName>
    <definedName name="_____________NEW4" hidden="1">{#N/A,#N/A,FALSE,"Full";#N/A,#N/A,FALSE,"Half";#N/A,#N/A,FALSE,"Op Expenses";#N/A,#N/A,FALSE,"Cap Charge";#N/A,#N/A,FALSE,"Cost C";#N/A,#N/A,FALSE,"PP&amp;E";#N/A,#N/A,FALSE,"R&amp;D"}</definedName>
    <definedName name="_____________R" localSheetId="10" hidden="1">{#N/A,#N/A,FALSE,"GRAFICO";#N/A,#N/A,FALSE,"CAJA (2)";#N/A,#N/A,FALSE,"TERCEROS-PROMEDIO";#N/A,#N/A,FALSE,"CAJA";#N/A,#N/A,FALSE,"INGRESOS1995-2003";#N/A,#N/A,FALSE,"GASTOS1995-2003"}</definedName>
    <definedName name="_____________R" hidden="1">{#N/A,#N/A,FALSE,"GRAFICO";#N/A,#N/A,FALSE,"CAJA (2)";#N/A,#N/A,FALSE,"TERCEROS-PROMEDIO";#N/A,#N/A,FALSE,"CAJA";#N/A,#N/A,FALSE,"INGRESOS1995-2003";#N/A,#N/A,FALSE,"GASTOS1995-2003"}</definedName>
    <definedName name="____________new1" localSheetId="10" hidden="1">{#N/A,#N/A,FALSE,"SMT1";#N/A,#N/A,FALSE,"SMT2";#N/A,#N/A,FALSE,"Summary";#N/A,#N/A,FALSE,"Graphs";#N/A,#N/A,FALSE,"4 Panel"}</definedName>
    <definedName name="____________new1" hidden="1">{#N/A,#N/A,FALSE,"SMT1";#N/A,#N/A,FALSE,"SMT2";#N/A,#N/A,FALSE,"Summary";#N/A,#N/A,FALSE,"Graphs";#N/A,#N/A,FALSE,"4 Panel"}</definedName>
    <definedName name="____________New15" localSheetId="10" hidden="1">{"EVA",#N/A,FALSE,"SMT2";#N/A,#N/A,FALSE,"Summary";#N/A,#N/A,FALSE,"Graphs";#N/A,#N/A,FALSE,"4 Panel"}</definedName>
    <definedName name="____________New15" hidden="1">{"EVA",#N/A,FALSE,"SMT2";#N/A,#N/A,FALSE,"Summary";#N/A,#N/A,FALSE,"Graphs";#N/A,#N/A,FALSE,"4 Panel"}</definedName>
    <definedName name="____________New16" localSheetId="10" hidden="1">{#N/A,#N/A,FALSE,"SMT1";#N/A,#N/A,FALSE,"SMT2";#N/A,#N/A,FALSE,"Summary";#N/A,#N/A,FALSE,"Graphs";#N/A,#N/A,FALSE,"4 Panel"}</definedName>
    <definedName name="____________New16" hidden="1">{#N/A,#N/A,FALSE,"SMT1";#N/A,#N/A,FALSE,"SMT2";#N/A,#N/A,FALSE,"Summary";#N/A,#N/A,FALSE,"Graphs";#N/A,#N/A,FALSE,"4 Panel"}</definedName>
    <definedName name="____________New17" localSheetId="10" hidden="1">{#N/A,#N/A,FALSE,"SMT1";#N/A,#N/A,FALSE,"SMT2";#N/A,#N/A,FALSE,"Summary";#N/A,#N/A,FALSE,"Graphs";#N/A,#N/A,FALSE,"4 Panel"}</definedName>
    <definedName name="____________New17" hidden="1">{#N/A,#N/A,FALSE,"SMT1";#N/A,#N/A,FALSE,"SMT2";#N/A,#N/A,FALSE,"Summary";#N/A,#N/A,FALSE,"Graphs";#N/A,#N/A,FALSE,"4 Panel"}</definedName>
    <definedName name="____________New18" localSheetId="10" hidden="1">{#N/A,#N/A,FALSE,"Full";#N/A,#N/A,FALSE,"Half";#N/A,#N/A,FALSE,"Op Expenses";#N/A,#N/A,FALSE,"Cap Charge";#N/A,#N/A,FALSE,"Cost C";#N/A,#N/A,FALSE,"PP&amp;E";#N/A,#N/A,FALSE,"R&amp;D"}</definedName>
    <definedName name="____________New18" hidden="1">{#N/A,#N/A,FALSE,"Full";#N/A,#N/A,FALSE,"Half";#N/A,#N/A,FALSE,"Op Expenses";#N/A,#N/A,FALSE,"Cap Charge";#N/A,#N/A,FALSE,"Cost C";#N/A,#N/A,FALSE,"PP&amp;E";#N/A,#N/A,FALSE,"R&amp;D"}</definedName>
    <definedName name="____________New19" localSheetId="10" hidden="1">{"EVA",#N/A,FALSE,"SMT2";#N/A,#N/A,FALSE,"Summary";#N/A,#N/A,FALSE,"Graphs";#N/A,#N/A,FALSE,"4 Panel"}</definedName>
    <definedName name="____________New19" hidden="1">{"EVA",#N/A,FALSE,"SMT2";#N/A,#N/A,FALSE,"Summary";#N/A,#N/A,FALSE,"Graphs";#N/A,#N/A,FALSE,"4 Panel"}</definedName>
    <definedName name="____________New20" localSheetId="10" hidden="1">{#N/A,#N/A,FALSE,"SMT1";#N/A,#N/A,FALSE,"SMT2";#N/A,#N/A,FALSE,"Summary";#N/A,#N/A,FALSE,"Graphs";#N/A,#N/A,FALSE,"4 Panel"}</definedName>
    <definedName name="____________New20" hidden="1">{#N/A,#N/A,FALSE,"SMT1";#N/A,#N/A,FALSE,"SMT2";#N/A,#N/A,FALSE,"Summary";#N/A,#N/A,FALSE,"Graphs";#N/A,#N/A,FALSE,"4 Panel"}</definedName>
    <definedName name="____________New21" localSheetId="10" hidden="1">{#N/A,#N/A,FALSE,"Full";#N/A,#N/A,FALSE,"Half";#N/A,#N/A,FALSE,"Op Expenses";#N/A,#N/A,FALSE,"Cap Charge";#N/A,#N/A,FALSE,"Cost C";#N/A,#N/A,FALSE,"PP&amp;E";#N/A,#N/A,FALSE,"R&amp;D"}</definedName>
    <definedName name="____________New21" hidden="1">{#N/A,#N/A,FALSE,"Full";#N/A,#N/A,FALSE,"Half";#N/A,#N/A,FALSE,"Op Expenses";#N/A,#N/A,FALSE,"Cap Charge";#N/A,#N/A,FALSE,"Cost C";#N/A,#N/A,FALSE,"PP&amp;E";#N/A,#N/A,FALSE,"R&amp;D"}</definedName>
    <definedName name="____________NEW3" localSheetId="10" hidden="1">{#N/A,#N/A,FALSE,"SMT1";#N/A,#N/A,FALSE,"SMT2";#N/A,#N/A,FALSE,"Summary";#N/A,#N/A,FALSE,"Graphs";#N/A,#N/A,FALSE,"4 Panel"}</definedName>
    <definedName name="____________NEW3" hidden="1">{#N/A,#N/A,FALSE,"SMT1";#N/A,#N/A,FALSE,"SMT2";#N/A,#N/A,FALSE,"Summary";#N/A,#N/A,FALSE,"Graphs";#N/A,#N/A,FALSE,"4 Panel"}</definedName>
    <definedName name="____________nEW30" localSheetId="10" hidden="1">{"EVA",#N/A,FALSE,"SMT2";#N/A,#N/A,FALSE,"Summary";#N/A,#N/A,FALSE,"Graphs";#N/A,#N/A,FALSE,"4 Panel"}</definedName>
    <definedName name="____________nEW30" hidden="1">{"EVA",#N/A,FALSE,"SMT2";#N/A,#N/A,FALSE,"Summary";#N/A,#N/A,FALSE,"Graphs";#N/A,#N/A,FALSE,"4 Panel"}</definedName>
    <definedName name="____________New31" localSheetId="10" hidden="1">{#N/A,#N/A,FALSE,"SMT1";#N/A,#N/A,FALSE,"SMT2";#N/A,#N/A,FALSE,"Summary";#N/A,#N/A,FALSE,"Graphs";#N/A,#N/A,FALSE,"4 Panel"}</definedName>
    <definedName name="____________New31" hidden="1">{#N/A,#N/A,FALSE,"SMT1";#N/A,#N/A,FALSE,"SMT2";#N/A,#N/A,FALSE,"Summary";#N/A,#N/A,FALSE,"Graphs";#N/A,#N/A,FALSE,"4 Panel"}</definedName>
    <definedName name="____________New32" localSheetId="10" hidden="1">{#N/A,#N/A,FALSE,"SMT1";#N/A,#N/A,FALSE,"SMT2";#N/A,#N/A,FALSE,"Summary";#N/A,#N/A,FALSE,"Graphs";#N/A,#N/A,FALSE,"4 Panel"}</definedName>
    <definedName name="____________New32" hidden="1">{#N/A,#N/A,FALSE,"SMT1";#N/A,#N/A,FALSE,"SMT2";#N/A,#N/A,FALSE,"Summary";#N/A,#N/A,FALSE,"Graphs";#N/A,#N/A,FALSE,"4 Panel"}</definedName>
    <definedName name="____________New33" localSheetId="10" hidden="1">{#N/A,#N/A,FALSE,"Full";#N/A,#N/A,FALSE,"Half";#N/A,#N/A,FALSE,"Op Expenses";#N/A,#N/A,FALSE,"Cap Charge";#N/A,#N/A,FALSE,"Cost C";#N/A,#N/A,FALSE,"PP&amp;E";#N/A,#N/A,FALSE,"R&amp;D"}</definedName>
    <definedName name="____________New33" hidden="1">{#N/A,#N/A,FALSE,"Full";#N/A,#N/A,FALSE,"Half";#N/A,#N/A,FALSE,"Op Expenses";#N/A,#N/A,FALSE,"Cap Charge";#N/A,#N/A,FALSE,"Cost C";#N/A,#N/A,FALSE,"PP&amp;E";#N/A,#N/A,FALSE,"R&amp;D"}</definedName>
    <definedName name="____________New34" localSheetId="10" hidden="1">{"EVA",#N/A,FALSE,"SMT2";#N/A,#N/A,FALSE,"Summary";#N/A,#N/A,FALSE,"Graphs";#N/A,#N/A,FALSE,"4 Panel"}</definedName>
    <definedName name="____________New34" hidden="1">{"EVA",#N/A,FALSE,"SMT2";#N/A,#N/A,FALSE,"Summary";#N/A,#N/A,FALSE,"Graphs";#N/A,#N/A,FALSE,"4 Panel"}</definedName>
    <definedName name="____________New35" localSheetId="10" hidden="1">{#N/A,#N/A,FALSE,"SMT1";#N/A,#N/A,FALSE,"SMT2";#N/A,#N/A,FALSE,"Summary";#N/A,#N/A,FALSE,"Graphs";#N/A,#N/A,FALSE,"4 Panel"}</definedName>
    <definedName name="____________New35" hidden="1">{#N/A,#N/A,FALSE,"SMT1";#N/A,#N/A,FALSE,"SMT2";#N/A,#N/A,FALSE,"Summary";#N/A,#N/A,FALSE,"Graphs";#N/A,#N/A,FALSE,"4 Panel"}</definedName>
    <definedName name="____________New36" localSheetId="10" hidden="1">{#N/A,#N/A,FALSE,"Full";#N/A,#N/A,FALSE,"Half";#N/A,#N/A,FALSE,"Op Expenses";#N/A,#N/A,FALSE,"Cap Charge";#N/A,#N/A,FALSE,"Cost C";#N/A,#N/A,FALSE,"PP&amp;E";#N/A,#N/A,FALSE,"R&amp;D"}</definedName>
    <definedName name="____________New36" hidden="1">{#N/A,#N/A,FALSE,"Full";#N/A,#N/A,FALSE,"Half";#N/A,#N/A,FALSE,"Op Expenses";#N/A,#N/A,FALSE,"Cap Charge";#N/A,#N/A,FALSE,"Cost C";#N/A,#N/A,FALSE,"PP&amp;E";#N/A,#N/A,FALSE,"R&amp;D"}</definedName>
    <definedName name="____________NEW4" localSheetId="10" hidden="1">{#N/A,#N/A,FALSE,"Full";#N/A,#N/A,FALSE,"Half";#N/A,#N/A,FALSE,"Op Expenses";#N/A,#N/A,FALSE,"Cap Charge";#N/A,#N/A,FALSE,"Cost C";#N/A,#N/A,FALSE,"PP&amp;E";#N/A,#N/A,FALSE,"R&amp;D"}</definedName>
    <definedName name="____________NEW4" hidden="1">{#N/A,#N/A,FALSE,"Full";#N/A,#N/A,FALSE,"Half";#N/A,#N/A,FALSE,"Op Expenses";#N/A,#N/A,FALSE,"Cap Charge";#N/A,#N/A,FALSE,"Cost C";#N/A,#N/A,FALSE,"PP&amp;E";#N/A,#N/A,FALSE,"R&amp;D"}</definedName>
    <definedName name="____________R" localSheetId="10" hidden="1">{#N/A,#N/A,FALSE,"GRAFICO";#N/A,#N/A,FALSE,"CAJA (2)";#N/A,#N/A,FALSE,"TERCEROS-PROMEDIO";#N/A,#N/A,FALSE,"CAJA";#N/A,#N/A,FALSE,"INGRESOS1995-2003";#N/A,#N/A,FALSE,"GASTOS1995-2003"}</definedName>
    <definedName name="____________R" hidden="1">{#N/A,#N/A,FALSE,"GRAFICO";#N/A,#N/A,FALSE,"CAJA (2)";#N/A,#N/A,FALSE,"TERCEROS-PROMEDIO";#N/A,#N/A,FALSE,"CAJA";#N/A,#N/A,FALSE,"INGRESOS1995-2003";#N/A,#N/A,FALSE,"GASTOS1995-2003"}</definedName>
    <definedName name="___________new1" localSheetId="10" hidden="1">{#N/A,#N/A,FALSE,"SMT1";#N/A,#N/A,FALSE,"SMT2";#N/A,#N/A,FALSE,"Summary";#N/A,#N/A,FALSE,"Graphs";#N/A,#N/A,FALSE,"4 Panel"}</definedName>
    <definedName name="___________new1" hidden="1">{#N/A,#N/A,FALSE,"SMT1";#N/A,#N/A,FALSE,"SMT2";#N/A,#N/A,FALSE,"Summary";#N/A,#N/A,FALSE,"Graphs";#N/A,#N/A,FALSE,"4 Panel"}</definedName>
    <definedName name="___________New15" localSheetId="10" hidden="1">{"EVA",#N/A,FALSE,"SMT2";#N/A,#N/A,FALSE,"Summary";#N/A,#N/A,FALSE,"Graphs";#N/A,#N/A,FALSE,"4 Panel"}</definedName>
    <definedName name="___________New15" hidden="1">{"EVA",#N/A,FALSE,"SMT2";#N/A,#N/A,FALSE,"Summary";#N/A,#N/A,FALSE,"Graphs";#N/A,#N/A,FALSE,"4 Panel"}</definedName>
    <definedName name="___________New16" localSheetId="10" hidden="1">{#N/A,#N/A,FALSE,"SMT1";#N/A,#N/A,FALSE,"SMT2";#N/A,#N/A,FALSE,"Summary";#N/A,#N/A,FALSE,"Graphs";#N/A,#N/A,FALSE,"4 Panel"}</definedName>
    <definedName name="___________New16" hidden="1">{#N/A,#N/A,FALSE,"SMT1";#N/A,#N/A,FALSE,"SMT2";#N/A,#N/A,FALSE,"Summary";#N/A,#N/A,FALSE,"Graphs";#N/A,#N/A,FALSE,"4 Panel"}</definedName>
    <definedName name="___________New17" localSheetId="10" hidden="1">{#N/A,#N/A,FALSE,"SMT1";#N/A,#N/A,FALSE,"SMT2";#N/A,#N/A,FALSE,"Summary";#N/A,#N/A,FALSE,"Graphs";#N/A,#N/A,FALSE,"4 Panel"}</definedName>
    <definedName name="___________New17" hidden="1">{#N/A,#N/A,FALSE,"SMT1";#N/A,#N/A,FALSE,"SMT2";#N/A,#N/A,FALSE,"Summary";#N/A,#N/A,FALSE,"Graphs";#N/A,#N/A,FALSE,"4 Panel"}</definedName>
    <definedName name="___________New18" localSheetId="10" hidden="1">{#N/A,#N/A,FALSE,"Full";#N/A,#N/A,FALSE,"Half";#N/A,#N/A,FALSE,"Op Expenses";#N/A,#N/A,FALSE,"Cap Charge";#N/A,#N/A,FALSE,"Cost C";#N/A,#N/A,FALSE,"PP&amp;E";#N/A,#N/A,FALSE,"R&amp;D"}</definedName>
    <definedName name="___________New18" hidden="1">{#N/A,#N/A,FALSE,"Full";#N/A,#N/A,FALSE,"Half";#N/A,#N/A,FALSE,"Op Expenses";#N/A,#N/A,FALSE,"Cap Charge";#N/A,#N/A,FALSE,"Cost C";#N/A,#N/A,FALSE,"PP&amp;E";#N/A,#N/A,FALSE,"R&amp;D"}</definedName>
    <definedName name="___________New19" localSheetId="10" hidden="1">{"EVA",#N/A,FALSE,"SMT2";#N/A,#N/A,FALSE,"Summary";#N/A,#N/A,FALSE,"Graphs";#N/A,#N/A,FALSE,"4 Panel"}</definedName>
    <definedName name="___________New19" hidden="1">{"EVA",#N/A,FALSE,"SMT2";#N/A,#N/A,FALSE,"Summary";#N/A,#N/A,FALSE,"Graphs";#N/A,#N/A,FALSE,"4 Panel"}</definedName>
    <definedName name="___________New20" localSheetId="10" hidden="1">{#N/A,#N/A,FALSE,"SMT1";#N/A,#N/A,FALSE,"SMT2";#N/A,#N/A,FALSE,"Summary";#N/A,#N/A,FALSE,"Graphs";#N/A,#N/A,FALSE,"4 Panel"}</definedName>
    <definedName name="___________New20" hidden="1">{#N/A,#N/A,FALSE,"SMT1";#N/A,#N/A,FALSE,"SMT2";#N/A,#N/A,FALSE,"Summary";#N/A,#N/A,FALSE,"Graphs";#N/A,#N/A,FALSE,"4 Panel"}</definedName>
    <definedName name="___________New21" localSheetId="10" hidden="1">{#N/A,#N/A,FALSE,"Full";#N/A,#N/A,FALSE,"Half";#N/A,#N/A,FALSE,"Op Expenses";#N/A,#N/A,FALSE,"Cap Charge";#N/A,#N/A,FALSE,"Cost C";#N/A,#N/A,FALSE,"PP&amp;E";#N/A,#N/A,FALSE,"R&amp;D"}</definedName>
    <definedName name="___________New21" hidden="1">{#N/A,#N/A,FALSE,"Full";#N/A,#N/A,FALSE,"Half";#N/A,#N/A,FALSE,"Op Expenses";#N/A,#N/A,FALSE,"Cap Charge";#N/A,#N/A,FALSE,"Cost C";#N/A,#N/A,FALSE,"PP&amp;E";#N/A,#N/A,FALSE,"R&amp;D"}</definedName>
    <definedName name="___________NEW3" localSheetId="10" hidden="1">{#N/A,#N/A,FALSE,"SMT1";#N/A,#N/A,FALSE,"SMT2";#N/A,#N/A,FALSE,"Summary";#N/A,#N/A,FALSE,"Graphs";#N/A,#N/A,FALSE,"4 Panel"}</definedName>
    <definedName name="___________NEW3" hidden="1">{#N/A,#N/A,FALSE,"SMT1";#N/A,#N/A,FALSE,"SMT2";#N/A,#N/A,FALSE,"Summary";#N/A,#N/A,FALSE,"Graphs";#N/A,#N/A,FALSE,"4 Panel"}</definedName>
    <definedName name="___________nEW30" localSheetId="10" hidden="1">{"EVA",#N/A,FALSE,"SMT2";#N/A,#N/A,FALSE,"Summary";#N/A,#N/A,FALSE,"Graphs";#N/A,#N/A,FALSE,"4 Panel"}</definedName>
    <definedName name="___________nEW30" hidden="1">{"EVA",#N/A,FALSE,"SMT2";#N/A,#N/A,FALSE,"Summary";#N/A,#N/A,FALSE,"Graphs";#N/A,#N/A,FALSE,"4 Panel"}</definedName>
    <definedName name="___________New31" localSheetId="10" hidden="1">{#N/A,#N/A,FALSE,"SMT1";#N/A,#N/A,FALSE,"SMT2";#N/A,#N/A,FALSE,"Summary";#N/A,#N/A,FALSE,"Graphs";#N/A,#N/A,FALSE,"4 Panel"}</definedName>
    <definedName name="___________New31" hidden="1">{#N/A,#N/A,FALSE,"SMT1";#N/A,#N/A,FALSE,"SMT2";#N/A,#N/A,FALSE,"Summary";#N/A,#N/A,FALSE,"Graphs";#N/A,#N/A,FALSE,"4 Panel"}</definedName>
    <definedName name="___________New32" localSheetId="10" hidden="1">{#N/A,#N/A,FALSE,"SMT1";#N/A,#N/A,FALSE,"SMT2";#N/A,#N/A,FALSE,"Summary";#N/A,#N/A,FALSE,"Graphs";#N/A,#N/A,FALSE,"4 Panel"}</definedName>
    <definedName name="___________New32" hidden="1">{#N/A,#N/A,FALSE,"SMT1";#N/A,#N/A,FALSE,"SMT2";#N/A,#N/A,FALSE,"Summary";#N/A,#N/A,FALSE,"Graphs";#N/A,#N/A,FALSE,"4 Panel"}</definedName>
    <definedName name="___________New33" localSheetId="10" hidden="1">{#N/A,#N/A,FALSE,"Full";#N/A,#N/A,FALSE,"Half";#N/A,#N/A,FALSE,"Op Expenses";#N/A,#N/A,FALSE,"Cap Charge";#N/A,#N/A,FALSE,"Cost C";#N/A,#N/A,FALSE,"PP&amp;E";#N/A,#N/A,FALSE,"R&amp;D"}</definedName>
    <definedName name="___________New33" hidden="1">{#N/A,#N/A,FALSE,"Full";#N/A,#N/A,FALSE,"Half";#N/A,#N/A,FALSE,"Op Expenses";#N/A,#N/A,FALSE,"Cap Charge";#N/A,#N/A,FALSE,"Cost C";#N/A,#N/A,FALSE,"PP&amp;E";#N/A,#N/A,FALSE,"R&amp;D"}</definedName>
    <definedName name="___________New34" localSheetId="10" hidden="1">{"EVA",#N/A,FALSE,"SMT2";#N/A,#N/A,FALSE,"Summary";#N/A,#N/A,FALSE,"Graphs";#N/A,#N/A,FALSE,"4 Panel"}</definedName>
    <definedName name="___________New34" hidden="1">{"EVA",#N/A,FALSE,"SMT2";#N/A,#N/A,FALSE,"Summary";#N/A,#N/A,FALSE,"Graphs";#N/A,#N/A,FALSE,"4 Panel"}</definedName>
    <definedName name="___________New35" localSheetId="10" hidden="1">{#N/A,#N/A,FALSE,"SMT1";#N/A,#N/A,FALSE,"SMT2";#N/A,#N/A,FALSE,"Summary";#N/A,#N/A,FALSE,"Graphs";#N/A,#N/A,FALSE,"4 Panel"}</definedName>
    <definedName name="___________New35" hidden="1">{#N/A,#N/A,FALSE,"SMT1";#N/A,#N/A,FALSE,"SMT2";#N/A,#N/A,FALSE,"Summary";#N/A,#N/A,FALSE,"Graphs";#N/A,#N/A,FALSE,"4 Panel"}</definedName>
    <definedName name="___________New36" localSheetId="10" hidden="1">{#N/A,#N/A,FALSE,"Full";#N/A,#N/A,FALSE,"Half";#N/A,#N/A,FALSE,"Op Expenses";#N/A,#N/A,FALSE,"Cap Charge";#N/A,#N/A,FALSE,"Cost C";#N/A,#N/A,FALSE,"PP&amp;E";#N/A,#N/A,FALSE,"R&amp;D"}</definedName>
    <definedName name="___________New36" hidden="1">{#N/A,#N/A,FALSE,"Full";#N/A,#N/A,FALSE,"Half";#N/A,#N/A,FALSE,"Op Expenses";#N/A,#N/A,FALSE,"Cap Charge";#N/A,#N/A,FALSE,"Cost C";#N/A,#N/A,FALSE,"PP&amp;E";#N/A,#N/A,FALSE,"R&amp;D"}</definedName>
    <definedName name="___________NEW4" localSheetId="10" hidden="1">{#N/A,#N/A,FALSE,"Full";#N/A,#N/A,FALSE,"Half";#N/A,#N/A,FALSE,"Op Expenses";#N/A,#N/A,FALSE,"Cap Charge";#N/A,#N/A,FALSE,"Cost C";#N/A,#N/A,FALSE,"PP&amp;E";#N/A,#N/A,FALSE,"R&amp;D"}</definedName>
    <definedName name="___________NEW4" hidden="1">{#N/A,#N/A,FALSE,"Full";#N/A,#N/A,FALSE,"Half";#N/A,#N/A,FALSE,"Op Expenses";#N/A,#N/A,FALSE,"Cap Charge";#N/A,#N/A,FALSE,"Cost C";#N/A,#N/A,FALSE,"PP&amp;E";#N/A,#N/A,FALSE,"R&amp;D"}</definedName>
    <definedName name="___________R" localSheetId="10" hidden="1">{#N/A,#N/A,FALSE,"GRAFICO";#N/A,#N/A,FALSE,"CAJA (2)";#N/A,#N/A,FALSE,"TERCEROS-PROMEDIO";#N/A,#N/A,FALSE,"CAJA";#N/A,#N/A,FALSE,"INGRESOS1995-2003";#N/A,#N/A,FALSE,"GASTOS1995-2003"}</definedName>
    <definedName name="___________R" hidden="1">{#N/A,#N/A,FALSE,"GRAFICO";#N/A,#N/A,FALSE,"CAJA (2)";#N/A,#N/A,FALSE,"TERCEROS-PROMEDIO";#N/A,#N/A,FALSE,"CAJA";#N/A,#N/A,FALSE,"INGRESOS1995-2003";#N/A,#N/A,FALSE,"GASTOS1995-2003"}</definedName>
    <definedName name="__________new1" localSheetId="10" hidden="1">{#N/A,#N/A,FALSE,"SMT1";#N/A,#N/A,FALSE,"SMT2";#N/A,#N/A,FALSE,"Summary";#N/A,#N/A,FALSE,"Graphs";#N/A,#N/A,FALSE,"4 Panel"}</definedName>
    <definedName name="__________new1" hidden="1">{#N/A,#N/A,FALSE,"SMT1";#N/A,#N/A,FALSE,"SMT2";#N/A,#N/A,FALSE,"Summary";#N/A,#N/A,FALSE,"Graphs";#N/A,#N/A,FALSE,"4 Panel"}</definedName>
    <definedName name="__________New15" localSheetId="10" hidden="1">{"EVA",#N/A,FALSE,"SMT2";#N/A,#N/A,FALSE,"Summary";#N/A,#N/A,FALSE,"Graphs";#N/A,#N/A,FALSE,"4 Panel"}</definedName>
    <definedName name="__________New15" hidden="1">{"EVA",#N/A,FALSE,"SMT2";#N/A,#N/A,FALSE,"Summary";#N/A,#N/A,FALSE,"Graphs";#N/A,#N/A,FALSE,"4 Panel"}</definedName>
    <definedName name="__________New16" localSheetId="10" hidden="1">{#N/A,#N/A,FALSE,"SMT1";#N/A,#N/A,FALSE,"SMT2";#N/A,#N/A,FALSE,"Summary";#N/A,#N/A,FALSE,"Graphs";#N/A,#N/A,FALSE,"4 Panel"}</definedName>
    <definedName name="__________New16" hidden="1">{#N/A,#N/A,FALSE,"SMT1";#N/A,#N/A,FALSE,"SMT2";#N/A,#N/A,FALSE,"Summary";#N/A,#N/A,FALSE,"Graphs";#N/A,#N/A,FALSE,"4 Panel"}</definedName>
    <definedName name="__________New17" localSheetId="10" hidden="1">{#N/A,#N/A,FALSE,"SMT1";#N/A,#N/A,FALSE,"SMT2";#N/A,#N/A,FALSE,"Summary";#N/A,#N/A,FALSE,"Graphs";#N/A,#N/A,FALSE,"4 Panel"}</definedName>
    <definedName name="__________New17" hidden="1">{#N/A,#N/A,FALSE,"SMT1";#N/A,#N/A,FALSE,"SMT2";#N/A,#N/A,FALSE,"Summary";#N/A,#N/A,FALSE,"Graphs";#N/A,#N/A,FALSE,"4 Panel"}</definedName>
    <definedName name="__________New18" localSheetId="10" hidden="1">{#N/A,#N/A,FALSE,"Full";#N/A,#N/A,FALSE,"Half";#N/A,#N/A,FALSE,"Op Expenses";#N/A,#N/A,FALSE,"Cap Charge";#N/A,#N/A,FALSE,"Cost C";#N/A,#N/A,FALSE,"PP&amp;E";#N/A,#N/A,FALSE,"R&amp;D"}</definedName>
    <definedName name="__________New18" hidden="1">{#N/A,#N/A,FALSE,"Full";#N/A,#N/A,FALSE,"Half";#N/A,#N/A,FALSE,"Op Expenses";#N/A,#N/A,FALSE,"Cap Charge";#N/A,#N/A,FALSE,"Cost C";#N/A,#N/A,FALSE,"PP&amp;E";#N/A,#N/A,FALSE,"R&amp;D"}</definedName>
    <definedName name="__________New19" localSheetId="10" hidden="1">{"EVA",#N/A,FALSE,"SMT2";#N/A,#N/A,FALSE,"Summary";#N/A,#N/A,FALSE,"Graphs";#N/A,#N/A,FALSE,"4 Panel"}</definedName>
    <definedName name="__________New19" hidden="1">{"EVA",#N/A,FALSE,"SMT2";#N/A,#N/A,FALSE,"Summary";#N/A,#N/A,FALSE,"Graphs";#N/A,#N/A,FALSE,"4 Panel"}</definedName>
    <definedName name="__________New20" localSheetId="10" hidden="1">{#N/A,#N/A,FALSE,"SMT1";#N/A,#N/A,FALSE,"SMT2";#N/A,#N/A,FALSE,"Summary";#N/A,#N/A,FALSE,"Graphs";#N/A,#N/A,FALSE,"4 Panel"}</definedName>
    <definedName name="__________New20" hidden="1">{#N/A,#N/A,FALSE,"SMT1";#N/A,#N/A,FALSE,"SMT2";#N/A,#N/A,FALSE,"Summary";#N/A,#N/A,FALSE,"Graphs";#N/A,#N/A,FALSE,"4 Panel"}</definedName>
    <definedName name="__________New21" localSheetId="10" hidden="1">{#N/A,#N/A,FALSE,"Full";#N/A,#N/A,FALSE,"Half";#N/A,#N/A,FALSE,"Op Expenses";#N/A,#N/A,FALSE,"Cap Charge";#N/A,#N/A,FALSE,"Cost C";#N/A,#N/A,FALSE,"PP&amp;E";#N/A,#N/A,FALSE,"R&amp;D"}</definedName>
    <definedName name="__________New21" hidden="1">{#N/A,#N/A,FALSE,"Full";#N/A,#N/A,FALSE,"Half";#N/A,#N/A,FALSE,"Op Expenses";#N/A,#N/A,FALSE,"Cap Charge";#N/A,#N/A,FALSE,"Cost C";#N/A,#N/A,FALSE,"PP&amp;E";#N/A,#N/A,FALSE,"R&amp;D"}</definedName>
    <definedName name="__________NEW3" localSheetId="10" hidden="1">{#N/A,#N/A,FALSE,"SMT1";#N/A,#N/A,FALSE,"SMT2";#N/A,#N/A,FALSE,"Summary";#N/A,#N/A,FALSE,"Graphs";#N/A,#N/A,FALSE,"4 Panel"}</definedName>
    <definedName name="__________NEW3" hidden="1">{#N/A,#N/A,FALSE,"SMT1";#N/A,#N/A,FALSE,"SMT2";#N/A,#N/A,FALSE,"Summary";#N/A,#N/A,FALSE,"Graphs";#N/A,#N/A,FALSE,"4 Panel"}</definedName>
    <definedName name="__________nEW30" localSheetId="10" hidden="1">{"EVA",#N/A,FALSE,"SMT2";#N/A,#N/A,FALSE,"Summary";#N/A,#N/A,FALSE,"Graphs";#N/A,#N/A,FALSE,"4 Panel"}</definedName>
    <definedName name="__________nEW30" hidden="1">{"EVA",#N/A,FALSE,"SMT2";#N/A,#N/A,FALSE,"Summary";#N/A,#N/A,FALSE,"Graphs";#N/A,#N/A,FALSE,"4 Panel"}</definedName>
    <definedName name="__________New31" localSheetId="10" hidden="1">{#N/A,#N/A,FALSE,"SMT1";#N/A,#N/A,FALSE,"SMT2";#N/A,#N/A,FALSE,"Summary";#N/A,#N/A,FALSE,"Graphs";#N/A,#N/A,FALSE,"4 Panel"}</definedName>
    <definedName name="__________New31" hidden="1">{#N/A,#N/A,FALSE,"SMT1";#N/A,#N/A,FALSE,"SMT2";#N/A,#N/A,FALSE,"Summary";#N/A,#N/A,FALSE,"Graphs";#N/A,#N/A,FALSE,"4 Panel"}</definedName>
    <definedName name="__________New32" localSheetId="10" hidden="1">{#N/A,#N/A,FALSE,"SMT1";#N/A,#N/A,FALSE,"SMT2";#N/A,#N/A,FALSE,"Summary";#N/A,#N/A,FALSE,"Graphs";#N/A,#N/A,FALSE,"4 Panel"}</definedName>
    <definedName name="__________New32" hidden="1">{#N/A,#N/A,FALSE,"SMT1";#N/A,#N/A,FALSE,"SMT2";#N/A,#N/A,FALSE,"Summary";#N/A,#N/A,FALSE,"Graphs";#N/A,#N/A,FALSE,"4 Panel"}</definedName>
    <definedName name="__________New33" localSheetId="10" hidden="1">{#N/A,#N/A,FALSE,"Full";#N/A,#N/A,FALSE,"Half";#N/A,#N/A,FALSE,"Op Expenses";#N/A,#N/A,FALSE,"Cap Charge";#N/A,#N/A,FALSE,"Cost C";#N/A,#N/A,FALSE,"PP&amp;E";#N/A,#N/A,FALSE,"R&amp;D"}</definedName>
    <definedName name="__________New33" hidden="1">{#N/A,#N/A,FALSE,"Full";#N/A,#N/A,FALSE,"Half";#N/A,#N/A,FALSE,"Op Expenses";#N/A,#N/A,FALSE,"Cap Charge";#N/A,#N/A,FALSE,"Cost C";#N/A,#N/A,FALSE,"PP&amp;E";#N/A,#N/A,FALSE,"R&amp;D"}</definedName>
    <definedName name="__________New34" localSheetId="10" hidden="1">{"EVA",#N/A,FALSE,"SMT2";#N/A,#N/A,FALSE,"Summary";#N/A,#N/A,FALSE,"Graphs";#N/A,#N/A,FALSE,"4 Panel"}</definedName>
    <definedName name="__________New34" hidden="1">{"EVA",#N/A,FALSE,"SMT2";#N/A,#N/A,FALSE,"Summary";#N/A,#N/A,FALSE,"Graphs";#N/A,#N/A,FALSE,"4 Panel"}</definedName>
    <definedName name="__________New35" localSheetId="10" hidden="1">{#N/A,#N/A,FALSE,"SMT1";#N/A,#N/A,FALSE,"SMT2";#N/A,#N/A,FALSE,"Summary";#N/A,#N/A,FALSE,"Graphs";#N/A,#N/A,FALSE,"4 Panel"}</definedName>
    <definedName name="__________New35" hidden="1">{#N/A,#N/A,FALSE,"SMT1";#N/A,#N/A,FALSE,"SMT2";#N/A,#N/A,FALSE,"Summary";#N/A,#N/A,FALSE,"Graphs";#N/A,#N/A,FALSE,"4 Panel"}</definedName>
    <definedName name="__________New36" localSheetId="10" hidden="1">{#N/A,#N/A,FALSE,"Full";#N/A,#N/A,FALSE,"Half";#N/A,#N/A,FALSE,"Op Expenses";#N/A,#N/A,FALSE,"Cap Charge";#N/A,#N/A,FALSE,"Cost C";#N/A,#N/A,FALSE,"PP&amp;E";#N/A,#N/A,FALSE,"R&amp;D"}</definedName>
    <definedName name="__________New36" hidden="1">{#N/A,#N/A,FALSE,"Full";#N/A,#N/A,FALSE,"Half";#N/A,#N/A,FALSE,"Op Expenses";#N/A,#N/A,FALSE,"Cap Charge";#N/A,#N/A,FALSE,"Cost C";#N/A,#N/A,FALSE,"PP&amp;E";#N/A,#N/A,FALSE,"R&amp;D"}</definedName>
    <definedName name="__________NEW4" localSheetId="10" hidden="1">{#N/A,#N/A,FALSE,"Full";#N/A,#N/A,FALSE,"Half";#N/A,#N/A,FALSE,"Op Expenses";#N/A,#N/A,FALSE,"Cap Charge";#N/A,#N/A,FALSE,"Cost C";#N/A,#N/A,FALSE,"PP&amp;E";#N/A,#N/A,FALSE,"R&amp;D"}</definedName>
    <definedName name="__________NEW4" hidden="1">{#N/A,#N/A,FALSE,"Full";#N/A,#N/A,FALSE,"Half";#N/A,#N/A,FALSE,"Op Expenses";#N/A,#N/A,FALSE,"Cap Charge";#N/A,#N/A,FALSE,"Cost C";#N/A,#N/A,FALSE,"PP&amp;E";#N/A,#N/A,FALSE,"R&amp;D"}</definedName>
    <definedName name="__________R" localSheetId="10" hidden="1">{#N/A,#N/A,FALSE,"GRAFICO";#N/A,#N/A,FALSE,"CAJA (2)";#N/A,#N/A,FALSE,"TERCEROS-PROMEDIO";#N/A,#N/A,FALSE,"CAJA";#N/A,#N/A,FALSE,"INGRESOS1995-2003";#N/A,#N/A,FALSE,"GASTOS1995-2003"}</definedName>
    <definedName name="__________R" hidden="1">{#N/A,#N/A,FALSE,"GRAFICO";#N/A,#N/A,FALSE,"CAJA (2)";#N/A,#N/A,FALSE,"TERCEROS-PROMEDIO";#N/A,#N/A,FALSE,"CAJA";#N/A,#N/A,FALSE,"INGRESOS1995-2003";#N/A,#N/A,FALSE,"GASTOS1995-2003"}</definedName>
    <definedName name="_________new1" localSheetId="10" hidden="1">{#N/A,#N/A,FALSE,"SMT1";#N/A,#N/A,FALSE,"SMT2";#N/A,#N/A,FALSE,"Summary";#N/A,#N/A,FALSE,"Graphs";#N/A,#N/A,FALSE,"4 Panel"}</definedName>
    <definedName name="_________new1" hidden="1">{#N/A,#N/A,FALSE,"SMT1";#N/A,#N/A,FALSE,"SMT2";#N/A,#N/A,FALSE,"Summary";#N/A,#N/A,FALSE,"Graphs";#N/A,#N/A,FALSE,"4 Panel"}</definedName>
    <definedName name="_________New15" localSheetId="10" hidden="1">{"EVA",#N/A,FALSE,"SMT2";#N/A,#N/A,FALSE,"Summary";#N/A,#N/A,FALSE,"Graphs";#N/A,#N/A,FALSE,"4 Panel"}</definedName>
    <definedName name="_________New15" hidden="1">{"EVA",#N/A,FALSE,"SMT2";#N/A,#N/A,FALSE,"Summary";#N/A,#N/A,FALSE,"Graphs";#N/A,#N/A,FALSE,"4 Panel"}</definedName>
    <definedName name="_________New16" localSheetId="10" hidden="1">{#N/A,#N/A,FALSE,"SMT1";#N/A,#N/A,FALSE,"SMT2";#N/A,#N/A,FALSE,"Summary";#N/A,#N/A,FALSE,"Graphs";#N/A,#N/A,FALSE,"4 Panel"}</definedName>
    <definedName name="_________New16" hidden="1">{#N/A,#N/A,FALSE,"SMT1";#N/A,#N/A,FALSE,"SMT2";#N/A,#N/A,FALSE,"Summary";#N/A,#N/A,FALSE,"Graphs";#N/A,#N/A,FALSE,"4 Panel"}</definedName>
    <definedName name="_________New17" localSheetId="10" hidden="1">{#N/A,#N/A,FALSE,"SMT1";#N/A,#N/A,FALSE,"SMT2";#N/A,#N/A,FALSE,"Summary";#N/A,#N/A,FALSE,"Graphs";#N/A,#N/A,FALSE,"4 Panel"}</definedName>
    <definedName name="_________New17" hidden="1">{#N/A,#N/A,FALSE,"SMT1";#N/A,#N/A,FALSE,"SMT2";#N/A,#N/A,FALSE,"Summary";#N/A,#N/A,FALSE,"Graphs";#N/A,#N/A,FALSE,"4 Panel"}</definedName>
    <definedName name="_________New18" localSheetId="10" hidden="1">{#N/A,#N/A,FALSE,"Full";#N/A,#N/A,FALSE,"Half";#N/A,#N/A,FALSE,"Op Expenses";#N/A,#N/A,FALSE,"Cap Charge";#N/A,#N/A,FALSE,"Cost C";#N/A,#N/A,FALSE,"PP&amp;E";#N/A,#N/A,FALSE,"R&amp;D"}</definedName>
    <definedName name="_________New18" hidden="1">{#N/A,#N/A,FALSE,"Full";#N/A,#N/A,FALSE,"Half";#N/A,#N/A,FALSE,"Op Expenses";#N/A,#N/A,FALSE,"Cap Charge";#N/A,#N/A,FALSE,"Cost C";#N/A,#N/A,FALSE,"PP&amp;E";#N/A,#N/A,FALSE,"R&amp;D"}</definedName>
    <definedName name="_________New19" localSheetId="10" hidden="1">{"EVA",#N/A,FALSE,"SMT2";#N/A,#N/A,FALSE,"Summary";#N/A,#N/A,FALSE,"Graphs";#N/A,#N/A,FALSE,"4 Panel"}</definedName>
    <definedName name="_________New19" hidden="1">{"EVA",#N/A,FALSE,"SMT2";#N/A,#N/A,FALSE,"Summary";#N/A,#N/A,FALSE,"Graphs";#N/A,#N/A,FALSE,"4 Panel"}</definedName>
    <definedName name="_________New20" localSheetId="10" hidden="1">{#N/A,#N/A,FALSE,"SMT1";#N/A,#N/A,FALSE,"SMT2";#N/A,#N/A,FALSE,"Summary";#N/A,#N/A,FALSE,"Graphs";#N/A,#N/A,FALSE,"4 Panel"}</definedName>
    <definedName name="_________New20" hidden="1">{#N/A,#N/A,FALSE,"SMT1";#N/A,#N/A,FALSE,"SMT2";#N/A,#N/A,FALSE,"Summary";#N/A,#N/A,FALSE,"Graphs";#N/A,#N/A,FALSE,"4 Panel"}</definedName>
    <definedName name="_________New21" localSheetId="10" hidden="1">{#N/A,#N/A,FALSE,"Full";#N/A,#N/A,FALSE,"Half";#N/A,#N/A,FALSE,"Op Expenses";#N/A,#N/A,FALSE,"Cap Charge";#N/A,#N/A,FALSE,"Cost C";#N/A,#N/A,FALSE,"PP&amp;E";#N/A,#N/A,FALSE,"R&amp;D"}</definedName>
    <definedName name="_________New21" hidden="1">{#N/A,#N/A,FALSE,"Full";#N/A,#N/A,FALSE,"Half";#N/A,#N/A,FALSE,"Op Expenses";#N/A,#N/A,FALSE,"Cap Charge";#N/A,#N/A,FALSE,"Cost C";#N/A,#N/A,FALSE,"PP&amp;E";#N/A,#N/A,FALSE,"R&amp;D"}</definedName>
    <definedName name="_________NEW3" localSheetId="10" hidden="1">{#N/A,#N/A,FALSE,"SMT1";#N/A,#N/A,FALSE,"SMT2";#N/A,#N/A,FALSE,"Summary";#N/A,#N/A,FALSE,"Graphs";#N/A,#N/A,FALSE,"4 Panel"}</definedName>
    <definedName name="_________NEW3" hidden="1">{#N/A,#N/A,FALSE,"SMT1";#N/A,#N/A,FALSE,"SMT2";#N/A,#N/A,FALSE,"Summary";#N/A,#N/A,FALSE,"Graphs";#N/A,#N/A,FALSE,"4 Panel"}</definedName>
    <definedName name="_________nEW30" localSheetId="10" hidden="1">{"EVA",#N/A,FALSE,"SMT2";#N/A,#N/A,FALSE,"Summary";#N/A,#N/A,FALSE,"Graphs";#N/A,#N/A,FALSE,"4 Panel"}</definedName>
    <definedName name="_________nEW30" hidden="1">{"EVA",#N/A,FALSE,"SMT2";#N/A,#N/A,FALSE,"Summary";#N/A,#N/A,FALSE,"Graphs";#N/A,#N/A,FALSE,"4 Panel"}</definedName>
    <definedName name="_________New31" localSheetId="10" hidden="1">{#N/A,#N/A,FALSE,"SMT1";#N/A,#N/A,FALSE,"SMT2";#N/A,#N/A,FALSE,"Summary";#N/A,#N/A,FALSE,"Graphs";#N/A,#N/A,FALSE,"4 Panel"}</definedName>
    <definedName name="_________New31" hidden="1">{#N/A,#N/A,FALSE,"SMT1";#N/A,#N/A,FALSE,"SMT2";#N/A,#N/A,FALSE,"Summary";#N/A,#N/A,FALSE,"Graphs";#N/A,#N/A,FALSE,"4 Panel"}</definedName>
    <definedName name="_________New32" localSheetId="10" hidden="1">{#N/A,#N/A,FALSE,"SMT1";#N/A,#N/A,FALSE,"SMT2";#N/A,#N/A,FALSE,"Summary";#N/A,#N/A,FALSE,"Graphs";#N/A,#N/A,FALSE,"4 Panel"}</definedName>
    <definedName name="_________New32" hidden="1">{#N/A,#N/A,FALSE,"SMT1";#N/A,#N/A,FALSE,"SMT2";#N/A,#N/A,FALSE,"Summary";#N/A,#N/A,FALSE,"Graphs";#N/A,#N/A,FALSE,"4 Panel"}</definedName>
    <definedName name="_________New33" localSheetId="10" hidden="1">{#N/A,#N/A,FALSE,"Full";#N/A,#N/A,FALSE,"Half";#N/A,#N/A,FALSE,"Op Expenses";#N/A,#N/A,FALSE,"Cap Charge";#N/A,#N/A,FALSE,"Cost C";#N/A,#N/A,FALSE,"PP&amp;E";#N/A,#N/A,FALSE,"R&amp;D"}</definedName>
    <definedName name="_________New33" hidden="1">{#N/A,#N/A,FALSE,"Full";#N/A,#N/A,FALSE,"Half";#N/A,#N/A,FALSE,"Op Expenses";#N/A,#N/A,FALSE,"Cap Charge";#N/A,#N/A,FALSE,"Cost C";#N/A,#N/A,FALSE,"PP&amp;E";#N/A,#N/A,FALSE,"R&amp;D"}</definedName>
    <definedName name="_________New34" localSheetId="10" hidden="1">{"EVA",#N/A,FALSE,"SMT2";#N/A,#N/A,FALSE,"Summary";#N/A,#N/A,FALSE,"Graphs";#N/A,#N/A,FALSE,"4 Panel"}</definedName>
    <definedName name="_________New34" hidden="1">{"EVA",#N/A,FALSE,"SMT2";#N/A,#N/A,FALSE,"Summary";#N/A,#N/A,FALSE,"Graphs";#N/A,#N/A,FALSE,"4 Panel"}</definedName>
    <definedName name="_________New35" localSheetId="10" hidden="1">{#N/A,#N/A,FALSE,"SMT1";#N/A,#N/A,FALSE,"SMT2";#N/A,#N/A,FALSE,"Summary";#N/A,#N/A,FALSE,"Graphs";#N/A,#N/A,FALSE,"4 Panel"}</definedName>
    <definedName name="_________New35" hidden="1">{#N/A,#N/A,FALSE,"SMT1";#N/A,#N/A,FALSE,"SMT2";#N/A,#N/A,FALSE,"Summary";#N/A,#N/A,FALSE,"Graphs";#N/A,#N/A,FALSE,"4 Panel"}</definedName>
    <definedName name="_________New36" localSheetId="10" hidden="1">{#N/A,#N/A,FALSE,"Full";#N/A,#N/A,FALSE,"Half";#N/A,#N/A,FALSE,"Op Expenses";#N/A,#N/A,FALSE,"Cap Charge";#N/A,#N/A,FALSE,"Cost C";#N/A,#N/A,FALSE,"PP&amp;E";#N/A,#N/A,FALSE,"R&amp;D"}</definedName>
    <definedName name="_________New36" hidden="1">{#N/A,#N/A,FALSE,"Full";#N/A,#N/A,FALSE,"Half";#N/A,#N/A,FALSE,"Op Expenses";#N/A,#N/A,FALSE,"Cap Charge";#N/A,#N/A,FALSE,"Cost C";#N/A,#N/A,FALSE,"PP&amp;E";#N/A,#N/A,FALSE,"R&amp;D"}</definedName>
    <definedName name="_________NEW4" localSheetId="10" hidden="1">{#N/A,#N/A,FALSE,"Full";#N/A,#N/A,FALSE,"Half";#N/A,#N/A,FALSE,"Op Expenses";#N/A,#N/A,FALSE,"Cap Charge";#N/A,#N/A,FALSE,"Cost C";#N/A,#N/A,FALSE,"PP&amp;E";#N/A,#N/A,FALSE,"R&amp;D"}</definedName>
    <definedName name="_________NEW4" hidden="1">{#N/A,#N/A,FALSE,"Full";#N/A,#N/A,FALSE,"Half";#N/A,#N/A,FALSE,"Op Expenses";#N/A,#N/A,FALSE,"Cap Charge";#N/A,#N/A,FALSE,"Cost C";#N/A,#N/A,FALSE,"PP&amp;E";#N/A,#N/A,FALSE,"R&amp;D"}</definedName>
    <definedName name="_________R" localSheetId="10" hidden="1">{#N/A,#N/A,FALSE,"GRAFICO";#N/A,#N/A,FALSE,"CAJA (2)";#N/A,#N/A,FALSE,"TERCEROS-PROMEDIO";#N/A,#N/A,FALSE,"CAJA";#N/A,#N/A,FALSE,"INGRESOS1995-2003";#N/A,#N/A,FALSE,"GASTOS1995-2003"}</definedName>
    <definedName name="_________R" hidden="1">{#N/A,#N/A,FALSE,"GRAFICO";#N/A,#N/A,FALSE,"CAJA (2)";#N/A,#N/A,FALSE,"TERCEROS-PROMEDIO";#N/A,#N/A,FALSE,"CAJA";#N/A,#N/A,FALSE,"INGRESOS1995-2003";#N/A,#N/A,FALSE,"GASTOS1995-2003"}</definedName>
    <definedName name="________new1" localSheetId="10" hidden="1">{#N/A,#N/A,FALSE,"SMT1";#N/A,#N/A,FALSE,"SMT2";#N/A,#N/A,FALSE,"Summary";#N/A,#N/A,FALSE,"Graphs";#N/A,#N/A,FALSE,"4 Panel"}</definedName>
    <definedName name="________new1" hidden="1">{#N/A,#N/A,FALSE,"SMT1";#N/A,#N/A,FALSE,"SMT2";#N/A,#N/A,FALSE,"Summary";#N/A,#N/A,FALSE,"Graphs";#N/A,#N/A,FALSE,"4 Panel"}</definedName>
    <definedName name="________New15" localSheetId="10" hidden="1">{"EVA",#N/A,FALSE,"SMT2";#N/A,#N/A,FALSE,"Summary";#N/A,#N/A,FALSE,"Graphs";#N/A,#N/A,FALSE,"4 Panel"}</definedName>
    <definedName name="________New15" hidden="1">{"EVA",#N/A,FALSE,"SMT2";#N/A,#N/A,FALSE,"Summary";#N/A,#N/A,FALSE,"Graphs";#N/A,#N/A,FALSE,"4 Panel"}</definedName>
    <definedName name="________New16" localSheetId="10" hidden="1">{#N/A,#N/A,FALSE,"SMT1";#N/A,#N/A,FALSE,"SMT2";#N/A,#N/A,FALSE,"Summary";#N/A,#N/A,FALSE,"Graphs";#N/A,#N/A,FALSE,"4 Panel"}</definedName>
    <definedName name="________New16" hidden="1">{#N/A,#N/A,FALSE,"SMT1";#N/A,#N/A,FALSE,"SMT2";#N/A,#N/A,FALSE,"Summary";#N/A,#N/A,FALSE,"Graphs";#N/A,#N/A,FALSE,"4 Panel"}</definedName>
    <definedName name="________New17" localSheetId="10" hidden="1">{#N/A,#N/A,FALSE,"SMT1";#N/A,#N/A,FALSE,"SMT2";#N/A,#N/A,FALSE,"Summary";#N/A,#N/A,FALSE,"Graphs";#N/A,#N/A,FALSE,"4 Panel"}</definedName>
    <definedName name="________New17" hidden="1">{#N/A,#N/A,FALSE,"SMT1";#N/A,#N/A,FALSE,"SMT2";#N/A,#N/A,FALSE,"Summary";#N/A,#N/A,FALSE,"Graphs";#N/A,#N/A,FALSE,"4 Panel"}</definedName>
    <definedName name="________New18" localSheetId="10" hidden="1">{#N/A,#N/A,FALSE,"Full";#N/A,#N/A,FALSE,"Half";#N/A,#N/A,FALSE,"Op Expenses";#N/A,#N/A,FALSE,"Cap Charge";#N/A,#N/A,FALSE,"Cost C";#N/A,#N/A,FALSE,"PP&amp;E";#N/A,#N/A,FALSE,"R&amp;D"}</definedName>
    <definedName name="________New18" hidden="1">{#N/A,#N/A,FALSE,"Full";#N/A,#N/A,FALSE,"Half";#N/A,#N/A,FALSE,"Op Expenses";#N/A,#N/A,FALSE,"Cap Charge";#N/A,#N/A,FALSE,"Cost C";#N/A,#N/A,FALSE,"PP&amp;E";#N/A,#N/A,FALSE,"R&amp;D"}</definedName>
    <definedName name="________New19" localSheetId="10" hidden="1">{"EVA",#N/A,FALSE,"SMT2";#N/A,#N/A,FALSE,"Summary";#N/A,#N/A,FALSE,"Graphs";#N/A,#N/A,FALSE,"4 Panel"}</definedName>
    <definedName name="________New19" hidden="1">{"EVA",#N/A,FALSE,"SMT2";#N/A,#N/A,FALSE,"Summary";#N/A,#N/A,FALSE,"Graphs";#N/A,#N/A,FALSE,"4 Panel"}</definedName>
    <definedName name="________New20" localSheetId="10" hidden="1">{#N/A,#N/A,FALSE,"SMT1";#N/A,#N/A,FALSE,"SMT2";#N/A,#N/A,FALSE,"Summary";#N/A,#N/A,FALSE,"Graphs";#N/A,#N/A,FALSE,"4 Panel"}</definedName>
    <definedName name="________New20" hidden="1">{#N/A,#N/A,FALSE,"SMT1";#N/A,#N/A,FALSE,"SMT2";#N/A,#N/A,FALSE,"Summary";#N/A,#N/A,FALSE,"Graphs";#N/A,#N/A,FALSE,"4 Panel"}</definedName>
    <definedName name="________New21" localSheetId="10" hidden="1">{#N/A,#N/A,FALSE,"Full";#N/A,#N/A,FALSE,"Half";#N/A,#N/A,FALSE,"Op Expenses";#N/A,#N/A,FALSE,"Cap Charge";#N/A,#N/A,FALSE,"Cost C";#N/A,#N/A,FALSE,"PP&amp;E";#N/A,#N/A,FALSE,"R&amp;D"}</definedName>
    <definedName name="________New21" hidden="1">{#N/A,#N/A,FALSE,"Full";#N/A,#N/A,FALSE,"Half";#N/A,#N/A,FALSE,"Op Expenses";#N/A,#N/A,FALSE,"Cap Charge";#N/A,#N/A,FALSE,"Cost C";#N/A,#N/A,FALSE,"PP&amp;E";#N/A,#N/A,FALSE,"R&amp;D"}</definedName>
    <definedName name="________NEW3" localSheetId="10" hidden="1">{#N/A,#N/A,FALSE,"SMT1";#N/A,#N/A,FALSE,"SMT2";#N/A,#N/A,FALSE,"Summary";#N/A,#N/A,FALSE,"Graphs";#N/A,#N/A,FALSE,"4 Panel"}</definedName>
    <definedName name="________NEW3" hidden="1">{#N/A,#N/A,FALSE,"SMT1";#N/A,#N/A,FALSE,"SMT2";#N/A,#N/A,FALSE,"Summary";#N/A,#N/A,FALSE,"Graphs";#N/A,#N/A,FALSE,"4 Panel"}</definedName>
    <definedName name="________nEW30" localSheetId="10" hidden="1">{"EVA",#N/A,FALSE,"SMT2";#N/A,#N/A,FALSE,"Summary";#N/A,#N/A,FALSE,"Graphs";#N/A,#N/A,FALSE,"4 Panel"}</definedName>
    <definedName name="________nEW30" hidden="1">{"EVA",#N/A,FALSE,"SMT2";#N/A,#N/A,FALSE,"Summary";#N/A,#N/A,FALSE,"Graphs";#N/A,#N/A,FALSE,"4 Panel"}</definedName>
    <definedName name="________New31" localSheetId="10" hidden="1">{#N/A,#N/A,FALSE,"SMT1";#N/A,#N/A,FALSE,"SMT2";#N/A,#N/A,FALSE,"Summary";#N/A,#N/A,FALSE,"Graphs";#N/A,#N/A,FALSE,"4 Panel"}</definedName>
    <definedName name="________New31" hidden="1">{#N/A,#N/A,FALSE,"SMT1";#N/A,#N/A,FALSE,"SMT2";#N/A,#N/A,FALSE,"Summary";#N/A,#N/A,FALSE,"Graphs";#N/A,#N/A,FALSE,"4 Panel"}</definedName>
    <definedName name="________New32" localSheetId="10" hidden="1">{#N/A,#N/A,FALSE,"SMT1";#N/A,#N/A,FALSE,"SMT2";#N/A,#N/A,FALSE,"Summary";#N/A,#N/A,FALSE,"Graphs";#N/A,#N/A,FALSE,"4 Panel"}</definedName>
    <definedName name="________New32" hidden="1">{#N/A,#N/A,FALSE,"SMT1";#N/A,#N/A,FALSE,"SMT2";#N/A,#N/A,FALSE,"Summary";#N/A,#N/A,FALSE,"Graphs";#N/A,#N/A,FALSE,"4 Panel"}</definedName>
    <definedName name="________New33" localSheetId="10" hidden="1">{#N/A,#N/A,FALSE,"Full";#N/A,#N/A,FALSE,"Half";#N/A,#N/A,FALSE,"Op Expenses";#N/A,#N/A,FALSE,"Cap Charge";#N/A,#N/A,FALSE,"Cost C";#N/A,#N/A,FALSE,"PP&amp;E";#N/A,#N/A,FALSE,"R&amp;D"}</definedName>
    <definedName name="________New33" hidden="1">{#N/A,#N/A,FALSE,"Full";#N/A,#N/A,FALSE,"Half";#N/A,#N/A,FALSE,"Op Expenses";#N/A,#N/A,FALSE,"Cap Charge";#N/A,#N/A,FALSE,"Cost C";#N/A,#N/A,FALSE,"PP&amp;E";#N/A,#N/A,FALSE,"R&amp;D"}</definedName>
    <definedName name="________New34" localSheetId="10" hidden="1">{"EVA",#N/A,FALSE,"SMT2";#N/A,#N/A,FALSE,"Summary";#N/A,#N/A,FALSE,"Graphs";#N/A,#N/A,FALSE,"4 Panel"}</definedName>
    <definedName name="________New34" hidden="1">{"EVA",#N/A,FALSE,"SMT2";#N/A,#N/A,FALSE,"Summary";#N/A,#N/A,FALSE,"Graphs";#N/A,#N/A,FALSE,"4 Panel"}</definedName>
    <definedName name="________New35" localSheetId="10" hidden="1">{#N/A,#N/A,FALSE,"SMT1";#N/A,#N/A,FALSE,"SMT2";#N/A,#N/A,FALSE,"Summary";#N/A,#N/A,FALSE,"Graphs";#N/A,#N/A,FALSE,"4 Panel"}</definedName>
    <definedName name="________New35" hidden="1">{#N/A,#N/A,FALSE,"SMT1";#N/A,#N/A,FALSE,"SMT2";#N/A,#N/A,FALSE,"Summary";#N/A,#N/A,FALSE,"Graphs";#N/A,#N/A,FALSE,"4 Panel"}</definedName>
    <definedName name="________New36" localSheetId="10" hidden="1">{#N/A,#N/A,FALSE,"Full";#N/A,#N/A,FALSE,"Half";#N/A,#N/A,FALSE,"Op Expenses";#N/A,#N/A,FALSE,"Cap Charge";#N/A,#N/A,FALSE,"Cost C";#N/A,#N/A,FALSE,"PP&amp;E";#N/A,#N/A,FALSE,"R&amp;D"}</definedName>
    <definedName name="________New36" hidden="1">{#N/A,#N/A,FALSE,"Full";#N/A,#N/A,FALSE,"Half";#N/A,#N/A,FALSE,"Op Expenses";#N/A,#N/A,FALSE,"Cap Charge";#N/A,#N/A,FALSE,"Cost C";#N/A,#N/A,FALSE,"PP&amp;E";#N/A,#N/A,FALSE,"R&amp;D"}</definedName>
    <definedName name="________NEW4" localSheetId="10" hidden="1">{#N/A,#N/A,FALSE,"Full";#N/A,#N/A,FALSE,"Half";#N/A,#N/A,FALSE,"Op Expenses";#N/A,#N/A,FALSE,"Cap Charge";#N/A,#N/A,FALSE,"Cost C";#N/A,#N/A,FALSE,"PP&amp;E";#N/A,#N/A,FALSE,"R&amp;D"}</definedName>
    <definedName name="________NEW4" hidden="1">{#N/A,#N/A,FALSE,"Full";#N/A,#N/A,FALSE,"Half";#N/A,#N/A,FALSE,"Op Expenses";#N/A,#N/A,FALSE,"Cap Charge";#N/A,#N/A,FALSE,"Cost C";#N/A,#N/A,FALSE,"PP&amp;E";#N/A,#N/A,FALSE,"R&amp;D"}</definedName>
    <definedName name="________R" localSheetId="10" hidden="1">{#N/A,#N/A,FALSE,"GRAFICO";#N/A,#N/A,FALSE,"CAJA (2)";#N/A,#N/A,FALSE,"TERCEROS-PROMEDIO";#N/A,#N/A,FALSE,"CAJA";#N/A,#N/A,FALSE,"INGRESOS1995-2003";#N/A,#N/A,FALSE,"GASTOS1995-2003"}</definedName>
    <definedName name="________R" hidden="1">{#N/A,#N/A,FALSE,"GRAFICO";#N/A,#N/A,FALSE,"CAJA (2)";#N/A,#N/A,FALSE,"TERCEROS-PROMEDIO";#N/A,#N/A,FALSE,"CAJA";#N/A,#N/A,FALSE,"INGRESOS1995-2003";#N/A,#N/A,FALSE,"GASTOS1995-2003"}</definedName>
    <definedName name="_______new1" localSheetId="10" hidden="1">{#N/A,#N/A,FALSE,"SMT1";#N/A,#N/A,FALSE,"SMT2";#N/A,#N/A,FALSE,"Summary";#N/A,#N/A,FALSE,"Graphs";#N/A,#N/A,FALSE,"4 Panel"}</definedName>
    <definedName name="_______new1" hidden="1">{#N/A,#N/A,FALSE,"SMT1";#N/A,#N/A,FALSE,"SMT2";#N/A,#N/A,FALSE,"Summary";#N/A,#N/A,FALSE,"Graphs";#N/A,#N/A,FALSE,"4 Panel"}</definedName>
    <definedName name="_______New15" localSheetId="10" hidden="1">{"EVA",#N/A,FALSE,"SMT2";#N/A,#N/A,FALSE,"Summary";#N/A,#N/A,FALSE,"Graphs";#N/A,#N/A,FALSE,"4 Panel"}</definedName>
    <definedName name="_______New15" hidden="1">{"EVA",#N/A,FALSE,"SMT2";#N/A,#N/A,FALSE,"Summary";#N/A,#N/A,FALSE,"Graphs";#N/A,#N/A,FALSE,"4 Panel"}</definedName>
    <definedName name="_______New16" localSheetId="10" hidden="1">{#N/A,#N/A,FALSE,"SMT1";#N/A,#N/A,FALSE,"SMT2";#N/A,#N/A,FALSE,"Summary";#N/A,#N/A,FALSE,"Graphs";#N/A,#N/A,FALSE,"4 Panel"}</definedName>
    <definedName name="_______New16" hidden="1">{#N/A,#N/A,FALSE,"SMT1";#N/A,#N/A,FALSE,"SMT2";#N/A,#N/A,FALSE,"Summary";#N/A,#N/A,FALSE,"Graphs";#N/A,#N/A,FALSE,"4 Panel"}</definedName>
    <definedName name="_______New17" localSheetId="10" hidden="1">{#N/A,#N/A,FALSE,"SMT1";#N/A,#N/A,FALSE,"SMT2";#N/A,#N/A,FALSE,"Summary";#N/A,#N/A,FALSE,"Graphs";#N/A,#N/A,FALSE,"4 Panel"}</definedName>
    <definedName name="_______New17" hidden="1">{#N/A,#N/A,FALSE,"SMT1";#N/A,#N/A,FALSE,"SMT2";#N/A,#N/A,FALSE,"Summary";#N/A,#N/A,FALSE,"Graphs";#N/A,#N/A,FALSE,"4 Panel"}</definedName>
    <definedName name="_______New18" localSheetId="10" hidden="1">{#N/A,#N/A,FALSE,"Full";#N/A,#N/A,FALSE,"Half";#N/A,#N/A,FALSE,"Op Expenses";#N/A,#N/A,FALSE,"Cap Charge";#N/A,#N/A,FALSE,"Cost C";#N/A,#N/A,FALSE,"PP&amp;E";#N/A,#N/A,FALSE,"R&amp;D"}</definedName>
    <definedName name="_______New18" hidden="1">{#N/A,#N/A,FALSE,"Full";#N/A,#N/A,FALSE,"Half";#N/A,#N/A,FALSE,"Op Expenses";#N/A,#N/A,FALSE,"Cap Charge";#N/A,#N/A,FALSE,"Cost C";#N/A,#N/A,FALSE,"PP&amp;E";#N/A,#N/A,FALSE,"R&amp;D"}</definedName>
    <definedName name="_______New19" localSheetId="10" hidden="1">{"EVA",#N/A,FALSE,"SMT2";#N/A,#N/A,FALSE,"Summary";#N/A,#N/A,FALSE,"Graphs";#N/A,#N/A,FALSE,"4 Panel"}</definedName>
    <definedName name="_______New19" hidden="1">{"EVA",#N/A,FALSE,"SMT2";#N/A,#N/A,FALSE,"Summary";#N/A,#N/A,FALSE,"Graphs";#N/A,#N/A,FALSE,"4 Panel"}</definedName>
    <definedName name="_______New20" localSheetId="10" hidden="1">{#N/A,#N/A,FALSE,"SMT1";#N/A,#N/A,FALSE,"SMT2";#N/A,#N/A,FALSE,"Summary";#N/A,#N/A,FALSE,"Graphs";#N/A,#N/A,FALSE,"4 Panel"}</definedName>
    <definedName name="_______New20" hidden="1">{#N/A,#N/A,FALSE,"SMT1";#N/A,#N/A,FALSE,"SMT2";#N/A,#N/A,FALSE,"Summary";#N/A,#N/A,FALSE,"Graphs";#N/A,#N/A,FALSE,"4 Panel"}</definedName>
    <definedName name="_______New21" localSheetId="10" hidden="1">{#N/A,#N/A,FALSE,"Full";#N/A,#N/A,FALSE,"Half";#N/A,#N/A,FALSE,"Op Expenses";#N/A,#N/A,FALSE,"Cap Charge";#N/A,#N/A,FALSE,"Cost C";#N/A,#N/A,FALSE,"PP&amp;E";#N/A,#N/A,FALSE,"R&amp;D"}</definedName>
    <definedName name="_______New21" hidden="1">{#N/A,#N/A,FALSE,"Full";#N/A,#N/A,FALSE,"Half";#N/A,#N/A,FALSE,"Op Expenses";#N/A,#N/A,FALSE,"Cap Charge";#N/A,#N/A,FALSE,"Cost C";#N/A,#N/A,FALSE,"PP&amp;E";#N/A,#N/A,FALSE,"R&amp;D"}</definedName>
    <definedName name="_______NEW3" localSheetId="10" hidden="1">{#N/A,#N/A,FALSE,"SMT1";#N/A,#N/A,FALSE,"SMT2";#N/A,#N/A,FALSE,"Summary";#N/A,#N/A,FALSE,"Graphs";#N/A,#N/A,FALSE,"4 Panel"}</definedName>
    <definedName name="_______NEW3" hidden="1">{#N/A,#N/A,FALSE,"SMT1";#N/A,#N/A,FALSE,"SMT2";#N/A,#N/A,FALSE,"Summary";#N/A,#N/A,FALSE,"Graphs";#N/A,#N/A,FALSE,"4 Panel"}</definedName>
    <definedName name="_______nEW30" localSheetId="10" hidden="1">{"EVA",#N/A,FALSE,"SMT2";#N/A,#N/A,FALSE,"Summary";#N/A,#N/A,FALSE,"Graphs";#N/A,#N/A,FALSE,"4 Panel"}</definedName>
    <definedName name="_______nEW30" hidden="1">{"EVA",#N/A,FALSE,"SMT2";#N/A,#N/A,FALSE,"Summary";#N/A,#N/A,FALSE,"Graphs";#N/A,#N/A,FALSE,"4 Panel"}</definedName>
    <definedName name="_______New31" localSheetId="10" hidden="1">{#N/A,#N/A,FALSE,"SMT1";#N/A,#N/A,FALSE,"SMT2";#N/A,#N/A,FALSE,"Summary";#N/A,#N/A,FALSE,"Graphs";#N/A,#N/A,FALSE,"4 Panel"}</definedName>
    <definedName name="_______New31" hidden="1">{#N/A,#N/A,FALSE,"SMT1";#N/A,#N/A,FALSE,"SMT2";#N/A,#N/A,FALSE,"Summary";#N/A,#N/A,FALSE,"Graphs";#N/A,#N/A,FALSE,"4 Panel"}</definedName>
    <definedName name="_______New32" localSheetId="10" hidden="1">{#N/A,#N/A,FALSE,"SMT1";#N/A,#N/A,FALSE,"SMT2";#N/A,#N/A,FALSE,"Summary";#N/A,#N/A,FALSE,"Graphs";#N/A,#N/A,FALSE,"4 Panel"}</definedName>
    <definedName name="_______New32" hidden="1">{#N/A,#N/A,FALSE,"SMT1";#N/A,#N/A,FALSE,"SMT2";#N/A,#N/A,FALSE,"Summary";#N/A,#N/A,FALSE,"Graphs";#N/A,#N/A,FALSE,"4 Panel"}</definedName>
    <definedName name="_______New33" localSheetId="10" hidden="1">{#N/A,#N/A,FALSE,"Full";#N/A,#N/A,FALSE,"Half";#N/A,#N/A,FALSE,"Op Expenses";#N/A,#N/A,FALSE,"Cap Charge";#N/A,#N/A,FALSE,"Cost C";#N/A,#N/A,FALSE,"PP&amp;E";#N/A,#N/A,FALSE,"R&amp;D"}</definedName>
    <definedName name="_______New33" hidden="1">{#N/A,#N/A,FALSE,"Full";#N/A,#N/A,FALSE,"Half";#N/A,#N/A,FALSE,"Op Expenses";#N/A,#N/A,FALSE,"Cap Charge";#N/A,#N/A,FALSE,"Cost C";#N/A,#N/A,FALSE,"PP&amp;E";#N/A,#N/A,FALSE,"R&amp;D"}</definedName>
    <definedName name="_______New34" localSheetId="10" hidden="1">{"EVA",#N/A,FALSE,"SMT2";#N/A,#N/A,FALSE,"Summary";#N/A,#N/A,FALSE,"Graphs";#N/A,#N/A,FALSE,"4 Panel"}</definedName>
    <definedName name="_______New34" hidden="1">{"EVA",#N/A,FALSE,"SMT2";#N/A,#N/A,FALSE,"Summary";#N/A,#N/A,FALSE,"Graphs";#N/A,#N/A,FALSE,"4 Panel"}</definedName>
    <definedName name="_______New35" localSheetId="10" hidden="1">{#N/A,#N/A,FALSE,"SMT1";#N/A,#N/A,FALSE,"SMT2";#N/A,#N/A,FALSE,"Summary";#N/A,#N/A,FALSE,"Graphs";#N/A,#N/A,FALSE,"4 Panel"}</definedName>
    <definedName name="_______New35" hidden="1">{#N/A,#N/A,FALSE,"SMT1";#N/A,#N/A,FALSE,"SMT2";#N/A,#N/A,FALSE,"Summary";#N/A,#N/A,FALSE,"Graphs";#N/A,#N/A,FALSE,"4 Panel"}</definedName>
    <definedName name="_______New36" localSheetId="10" hidden="1">{#N/A,#N/A,FALSE,"Full";#N/A,#N/A,FALSE,"Half";#N/A,#N/A,FALSE,"Op Expenses";#N/A,#N/A,FALSE,"Cap Charge";#N/A,#N/A,FALSE,"Cost C";#N/A,#N/A,FALSE,"PP&amp;E";#N/A,#N/A,FALSE,"R&amp;D"}</definedName>
    <definedName name="_______New36" hidden="1">{#N/A,#N/A,FALSE,"Full";#N/A,#N/A,FALSE,"Half";#N/A,#N/A,FALSE,"Op Expenses";#N/A,#N/A,FALSE,"Cap Charge";#N/A,#N/A,FALSE,"Cost C";#N/A,#N/A,FALSE,"PP&amp;E";#N/A,#N/A,FALSE,"R&amp;D"}</definedName>
    <definedName name="_______NEW4" localSheetId="10" hidden="1">{#N/A,#N/A,FALSE,"Full";#N/A,#N/A,FALSE,"Half";#N/A,#N/A,FALSE,"Op Expenses";#N/A,#N/A,FALSE,"Cap Charge";#N/A,#N/A,FALSE,"Cost C";#N/A,#N/A,FALSE,"PP&amp;E";#N/A,#N/A,FALSE,"R&amp;D"}</definedName>
    <definedName name="_______NEW4" hidden="1">{#N/A,#N/A,FALSE,"Full";#N/A,#N/A,FALSE,"Half";#N/A,#N/A,FALSE,"Op Expenses";#N/A,#N/A,FALSE,"Cap Charge";#N/A,#N/A,FALSE,"Cost C";#N/A,#N/A,FALSE,"PP&amp;E";#N/A,#N/A,FALSE,"R&amp;D"}</definedName>
    <definedName name="_______R" localSheetId="10" hidden="1">{#N/A,#N/A,FALSE,"GRAFICO";#N/A,#N/A,FALSE,"CAJA (2)";#N/A,#N/A,FALSE,"TERCEROS-PROMEDIO";#N/A,#N/A,FALSE,"CAJA";#N/A,#N/A,FALSE,"INGRESOS1995-2003";#N/A,#N/A,FALSE,"GASTOS1995-2003"}</definedName>
    <definedName name="_______R" hidden="1">{#N/A,#N/A,FALSE,"GRAFICO";#N/A,#N/A,FALSE,"CAJA (2)";#N/A,#N/A,FALSE,"TERCEROS-PROMEDIO";#N/A,#N/A,FALSE,"CAJA";#N/A,#N/A,FALSE,"INGRESOS1995-2003";#N/A,#N/A,FALSE,"GASTOS1995-2003"}</definedName>
    <definedName name="______GGF2" localSheetId="9" hidden="1">{#N/A,#N/A,FALSE,"balance";#N/A,#N/A,FALSE,"PYG"}</definedName>
    <definedName name="______GGF2" localSheetId="10" hidden="1">{#N/A,#N/A,FALSE,"balance";#N/A,#N/A,FALSE,"PYG"}</definedName>
    <definedName name="______GGF2" hidden="1">{#N/A,#N/A,FALSE,"balance";#N/A,#N/A,FALSE,"PYG"}</definedName>
    <definedName name="______new1" localSheetId="10" hidden="1">{#N/A,#N/A,FALSE,"SMT1";#N/A,#N/A,FALSE,"SMT2";#N/A,#N/A,FALSE,"Summary";#N/A,#N/A,FALSE,"Graphs";#N/A,#N/A,FALSE,"4 Panel"}</definedName>
    <definedName name="______new1" hidden="1">{#N/A,#N/A,FALSE,"SMT1";#N/A,#N/A,FALSE,"SMT2";#N/A,#N/A,FALSE,"Summary";#N/A,#N/A,FALSE,"Graphs";#N/A,#N/A,FALSE,"4 Panel"}</definedName>
    <definedName name="______New15" localSheetId="10" hidden="1">{"EVA",#N/A,FALSE,"SMT2";#N/A,#N/A,FALSE,"Summary";#N/A,#N/A,FALSE,"Graphs";#N/A,#N/A,FALSE,"4 Panel"}</definedName>
    <definedName name="______New15" hidden="1">{"EVA",#N/A,FALSE,"SMT2";#N/A,#N/A,FALSE,"Summary";#N/A,#N/A,FALSE,"Graphs";#N/A,#N/A,FALSE,"4 Panel"}</definedName>
    <definedName name="______New16" localSheetId="10" hidden="1">{#N/A,#N/A,FALSE,"SMT1";#N/A,#N/A,FALSE,"SMT2";#N/A,#N/A,FALSE,"Summary";#N/A,#N/A,FALSE,"Graphs";#N/A,#N/A,FALSE,"4 Panel"}</definedName>
    <definedName name="______New16" hidden="1">{#N/A,#N/A,FALSE,"SMT1";#N/A,#N/A,FALSE,"SMT2";#N/A,#N/A,FALSE,"Summary";#N/A,#N/A,FALSE,"Graphs";#N/A,#N/A,FALSE,"4 Panel"}</definedName>
    <definedName name="______New17" localSheetId="10" hidden="1">{#N/A,#N/A,FALSE,"SMT1";#N/A,#N/A,FALSE,"SMT2";#N/A,#N/A,FALSE,"Summary";#N/A,#N/A,FALSE,"Graphs";#N/A,#N/A,FALSE,"4 Panel"}</definedName>
    <definedName name="______New17" hidden="1">{#N/A,#N/A,FALSE,"SMT1";#N/A,#N/A,FALSE,"SMT2";#N/A,#N/A,FALSE,"Summary";#N/A,#N/A,FALSE,"Graphs";#N/A,#N/A,FALSE,"4 Panel"}</definedName>
    <definedName name="______New18" localSheetId="10" hidden="1">{#N/A,#N/A,FALSE,"Full";#N/A,#N/A,FALSE,"Half";#N/A,#N/A,FALSE,"Op Expenses";#N/A,#N/A,FALSE,"Cap Charge";#N/A,#N/A,FALSE,"Cost C";#N/A,#N/A,FALSE,"PP&amp;E";#N/A,#N/A,FALSE,"R&amp;D"}</definedName>
    <definedName name="______New18" hidden="1">{#N/A,#N/A,FALSE,"Full";#N/A,#N/A,FALSE,"Half";#N/A,#N/A,FALSE,"Op Expenses";#N/A,#N/A,FALSE,"Cap Charge";#N/A,#N/A,FALSE,"Cost C";#N/A,#N/A,FALSE,"PP&amp;E";#N/A,#N/A,FALSE,"R&amp;D"}</definedName>
    <definedName name="______New19" localSheetId="10" hidden="1">{"EVA",#N/A,FALSE,"SMT2";#N/A,#N/A,FALSE,"Summary";#N/A,#N/A,FALSE,"Graphs";#N/A,#N/A,FALSE,"4 Panel"}</definedName>
    <definedName name="______New19" hidden="1">{"EVA",#N/A,FALSE,"SMT2";#N/A,#N/A,FALSE,"Summary";#N/A,#N/A,FALSE,"Graphs";#N/A,#N/A,FALSE,"4 Panel"}</definedName>
    <definedName name="______New20" localSheetId="10" hidden="1">{#N/A,#N/A,FALSE,"SMT1";#N/A,#N/A,FALSE,"SMT2";#N/A,#N/A,FALSE,"Summary";#N/A,#N/A,FALSE,"Graphs";#N/A,#N/A,FALSE,"4 Panel"}</definedName>
    <definedName name="______New20" hidden="1">{#N/A,#N/A,FALSE,"SMT1";#N/A,#N/A,FALSE,"SMT2";#N/A,#N/A,FALSE,"Summary";#N/A,#N/A,FALSE,"Graphs";#N/A,#N/A,FALSE,"4 Panel"}</definedName>
    <definedName name="______New21" localSheetId="10" hidden="1">{#N/A,#N/A,FALSE,"Full";#N/A,#N/A,FALSE,"Half";#N/A,#N/A,FALSE,"Op Expenses";#N/A,#N/A,FALSE,"Cap Charge";#N/A,#N/A,FALSE,"Cost C";#N/A,#N/A,FALSE,"PP&amp;E";#N/A,#N/A,FALSE,"R&amp;D"}</definedName>
    <definedName name="______New21" hidden="1">{#N/A,#N/A,FALSE,"Full";#N/A,#N/A,FALSE,"Half";#N/A,#N/A,FALSE,"Op Expenses";#N/A,#N/A,FALSE,"Cap Charge";#N/A,#N/A,FALSE,"Cost C";#N/A,#N/A,FALSE,"PP&amp;E";#N/A,#N/A,FALSE,"R&amp;D"}</definedName>
    <definedName name="______NEW3" localSheetId="10" hidden="1">{#N/A,#N/A,FALSE,"SMT1";#N/A,#N/A,FALSE,"SMT2";#N/A,#N/A,FALSE,"Summary";#N/A,#N/A,FALSE,"Graphs";#N/A,#N/A,FALSE,"4 Panel"}</definedName>
    <definedName name="______NEW3" hidden="1">{#N/A,#N/A,FALSE,"SMT1";#N/A,#N/A,FALSE,"SMT2";#N/A,#N/A,FALSE,"Summary";#N/A,#N/A,FALSE,"Graphs";#N/A,#N/A,FALSE,"4 Panel"}</definedName>
    <definedName name="______nEW30" localSheetId="10" hidden="1">{"EVA",#N/A,FALSE,"SMT2";#N/A,#N/A,FALSE,"Summary";#N/A,#N/A,FALSE,"Graphs";#N/A,#N/A,FALSE,"4 Panel"}</definedName>
    <definedName name="______nEW30" hidden="1">{"EVA",#N/A,FALSE,"SMT2";#N/A,#N/A,FALSE,"Summary";#N/A,#N/A,FALSE,"Graphs";#N/A,#N/A,FALSE,"4 Panel"}</definedName>
    <definedName name="______New31" localSheetId="10" hidden="1">{#N/A,#N/A,FALSE,"SMT1";#N/A,#N/A,FALSE,"SMT2";#N/A,#N/A,FALSE,"Summary";#N/A,#N/A,FALSE,"Graphs";#N/A,#N/A,FALSE,"4 Panel"}</definedName>
    <definedName name="______New31" hidden="1">{#N/A,#N/A,FALSE,"SMT1";#N/A,#N/A,FALSE,"SMT2";#N/A,#N/A,FALSE,"Summary";#N/A,#N/A,FALSE,"Graphs";#N/A,#N/A,FALSE,"4 Panel"}</definedName>
    <definedName name="______New32" localSheetId="10" hidden="1">{#N/A,#N/A,FALSE,"SMT1";#N/A,#N/A,FALSE,"SMT2";#N/A,#N/A,FALSE,"Summary";#N/A,#N/A,FALSE,"Graphs";#N/A,#N/A,FALSE,"4 Panel"}</definedName>
    <definedName name="______New32" hidden="1">{#N/A,#N/A,FALSE,"SMT1";#N/A,#N/A,FALSE,"SMT2";#N/A,#N/A,FALSE,"Summary";#N/A,#N/A,FALSE,"Graphs";#N/A,#N/A,FALSE,"4 Panel"}</definedName>
    <definedName name="______New33" localSheetId="10" hidden="1">{#N/A,#N/A,FALSE,"Full";#N/A,#N/A,FALSE,"Half";#N/A,#N/A,FALSE,"Op Expenses";#N/A,#N/A,FALSE,"Cap Charge";#N/A,#N/A,FALSE,"Cost C";#N/A,#N/A,FALSE,"PP&amp;E";#N/A,#N/A,FALSE,"R&amp;D"}</definedName>
    <definedName name="______New33" hidden="1">{#N/A,#N/A,FALSE,"Full";#N/A,#N/A,FALSE,"Half";#N/A,#N/A,FALSE,"Op Expenses";#N/A,#N/A,FALSE,"Cap Charge";#N/A,#N/A,FALSE,"Cost C";#N/A,#N/A,FALSE,"PP&amp;E";#N/A,#N/A,FALSE,"R&amp;D"}</definedName>
    <definedName name="______New34" localSheetId="10" hidden="1">{"EVA",#N/A,FALSE,"SMT2";#N/A,#N/A,FALSE,"Summary";#N/A,#N/A,FALSE,"Graphs";#N/A,#N/A,FALSE,"4 Panel"}</definedName>
    <definedName name="______New34" hidden="1">{"EVA",#N/A,FALSE,"SMT2";#N/A,#N/A,FALSE,"Summary";#N/A,#N/A,FALSE,"Graphs";#N/A,#N/A,FALSE,"4 Panel"}</definedName>
    <definedName name="______New35" localSheetId="10" hidden="1">{#N/A,#N/A,FALSE,"SMT1";#N/A,#N/A,FALSE,"SMT2";#N/A,#N/A,FALSE,"Summary";#N/A,#N/A,FALSE,"Graphs";#N/A,#N/A,FALSE,"4 Panel"}</definedName>
    <definedName name="______New35" hidden="1">{#N/A,#N/A,FALSE,"SMT1";#N/A,#N/A,FALSE,"SMT2";#N/A,#N/A,FALSE,"Summary";#N/A,#N/A,FALSE,"Graphs";#N/A,#N/A,FALSE,"4 Panel"}</definedName>
    <definedName name="______New36" localSheetId="10" hidden="1">{#N/A,#N/A,FALSE,"Full";#N/A,#N/A,FALSE,"Half";#N/A,#N/A,FALSE,"Op Expenses";#N/A,#N/A,FALSE,"Cap Charge";#N/A,#N/A,FALSE,"Cost C";#N/A,#N/A,FALSE,"PP&amp;E";#N/A,#N/A,FALSE,"R&amp;D"}</definedName>
    <definedName name="______New36" hidden="1">{#N/A,#N/A,FALSE,"Full";#N/A,#N/A,FALSE,"Half";#N/A,#N/A,FALSE,"Op Expenses";#N/A,#N/A,FALSE,"Cap Charge";#N/A,#N/A,FALSE,"Cost C";#N/A,#N/A,FALSE,"PP&amp;E";#N/A,#N/A,FALSE,"R&amp;D"}</definedName>
    <definedName name="______NEW4" localSheetId="10" hidden="1">{#N/A,#N/A,FALSE,"Full";#N/A,#N/A,FALSE,"Half";#N/A,#N/A,FALSE,"Op Expenses";#N/A,#N/A,FALSE,"Cap Charge";#N/A,#N/A,FALSE,"Cost C";#N/A,#N/A,FALSE,"PP&amp;E";#N/A,#N/A,FALSE,"R&amp;D"}</definedName>
    <definedName name="______NEW4" hidden="1">{#N/A,#N/A,FALSE,"Full";#N/A,#N/A,FALSE,"Half";#N/A,#N/A,FALSE,"Op Expenses";#N/A,#N/A,FALSE,"Cap Charge";#N/A,#N/A,FALSE,"Cost C";#N/A,#N/A,FALSE,"PP&amp;E";#N/A,#N/A,FALSE,"R&amp;D"}</definedName>
    <definedName name="______OCT2" localSheetId="9" hidden="1">{#N/A,#N/A,FALSE,"BL&amp;GPA";#N/A,#N/A,FALSE,"Summary";#N/A,#N/A,FALSE,"hts"}</definedName>
    <definedName name="______OCT2" localSheetId="10" hidden="1">{#N/A,#N/A,FALSE,"BL&amp;GPA";#N/A,#N/A,FALSE,"Summary";#N/A,#N/A,FALSE,"hts"}</definedName>
    <definedName name="______OCT2" hidden="1">{#N/A,#N/A,FALSE,"BL&amp;GPA";#N/A,#N/A,FALSE,"Summary";#N/A,#N/A,FALSE,"hts"}</definedName>
    <definedName name="______ok1" localSheetId="9" hidden="1">{#N/A,#N/A,FALSE,"balance";#N/A,#N/A,FALSE,"PYG"}</definedName>
    <definedName name="______ok1" localSheetId="10" hidden="1">{#N/A,#N/A,FALSE,"balance";#N/A,#N/A,FALSE,"PYG"}</definedName>
    <definedName name="______ok1" hidden="1">{#N/A,#N/A,FALSE,"balance";#N/A,#N/A,FALSE,"PYG"}</definedName>
    <definedName name="______Ok2" localSheetId="9" hidden="1">{#N/A,#N/A,FALSE,"balance";#N/A,#N/A,FALSE,"PYG"}</definedName>
    <definedName name="______Ok2" localSheetId="10" hidden="1">{#N/A,#N/A,FALSE,"balance";#N/A,#N/A,FALSE,"PYG"}</definedName>
    <definedName name="______Ok2" hidden="1">{#N/A,#N/A,FALSE,"balance";#N/A,#N/A,FALSE,"PYG"}</definedName>
    <definedName name="______PyG2" localSheetId="9" hidden="1">{#N/A,#N/A,FALSE,"balance";#N/A,#N/A,FALSE,"PYG"}</definedName>
    <definedName name="______PyG2" localSheetId="10" hidden="1">{#N/A,#N/A,FALSE,"balance";#N/A,#N/A,FALSE,"PYG"}</definedName>
    <definedName name="______PyG2" hidden="1">{#N/A,#N/A,FALSE,"balance";#N/A,#N/A,FALSE,"PYG"}</definedName>
    <definedName name="______PYG3" localSheetId="9" hidden="1">{#N/A,#N/A,FALSE,"balance";#N/A,#N/A,FALSE,"PYG"}</definedName>
    <definedName name="______PYG3" localSheetId="10" hidden="1">{#N/A,#N/A,FALSE,"balance";#N/A,#N/A,FALSE,"PYG"}</definedName>
    <definedName name="______PYG3" hidden="1">{#N/A,#N/A,FALSE,"balance";#N/A,#N/A,FALSE,"PYG"}</definedName>
    <definedName name="______PyG33" localSheetId="9" hidden="1">{#N/A,#N/A,FALSE,"balance";#N/A,#N/A,FALSE,"PYG"}</definedName>
    <definedName name="______PyG33" localSheetId="10" hidden="1">{#N/A,#N/A,FALSE,"balance";#N/A,#N/A,FALSE,"PYG"}</definedName>
    <definedName name="______PyG33" hidden="1">{#N/A,#N/A,FALSE,"balance";#N/A,#N/A,FALSE,"PYG"}</definedName>
    <definedName name="______R" localSheetId="10" hidden="1">{#N/A,#N/A,FALSE,"GRAFICO";#N/A,#N/A,FALSE,"CAJA (2)";#N/A,#N/A,FALSE,"TERCEROS-PROMEDIO";#N/A,#N/A,FALSE,"CAJA";#N/A,#N/A,FALSE,"INGRESOS1995-2003";#N/A,#N/A,FALSE,"GASTOS1995-2003"}</definedName>
    <definedName name="______R" hidden="1">{#N/A,#N/A,FALSE,"GRAFICO";#N/A,#N/A,FALSE,"CAJA (2)";#N/A,#N/A,FALSE,"TERCEROS-PROMEDIO";#N/A,#N/A,FALSE,"CAJA";#N/A,#N/A,FALSE,"INGRESOS1995-2003";#N/A,#N/A,FALSE,"GASTOS1995-2003"}</definedName>
    <definedName name="_____new1" localSheetId="10" hidden="1">{#N/A,#N/A,FALSE,"SMT1";#N/A,#N/A,FALSE,"SMT2";#N/A,#N/A,FALSE,"Summary";#N/A,#N/A,FALSE,"Graphs";#N/A,#N/A,FALSE,"4 Panel"}</definedName>
    <definedName name="_____new1" hidden="1">{#N/A,#N/A,FALSE,"SMT1";#N/A,#N/A,FALSE,"SMT2";#N/A,#N/A,FALSE,"Summary";#N/A,#N/A,FALSE,"Graphs";#N/A,#N/A,FALSE,"4 Panel"}</definedName>
    <definedName name="_____New15" localSheetId="10" hidden="1">{"EVA",#N/A,FALSE,"SMT2";#N/A,#N/A,FALSE,"Summary";#N/A,#N/A,FALSE,"Graphs";#N/A,#N/A,FALSE,"4 Panel"}</definedName>
    <definedName name="_____New15" hidden="1">{"EVA",#N/A,FALSE,"SMT2";#N/A,#N/A,FALSE,"Summary";#N/A,#N/A,FALSE,"Graphs";#N/A,#N/A,FALSE,"4 Panel"}</definedName>
    <definedName name="_____New16" localSheetId="10" hidden="1">{#N/A,#N/A,FALSE,"SMT1";#N/A,#N/A,FALSE,"SMT2";#N/A,#N/A,FALSE,"Summary";#N/A,#N/A,FALSE,"Graphs";#N/A,#N/A,FALSE,"4 Panel"}</definedName>
    <definedName name="_____New16" hidden="1">{#N/A,#N/A,FALSE,"SMT1";#N/A,#N/A,FALSE,"SMT2";#N/A,#N/A,FALSE,"Summary";#N/A,#N/A,FALSE,"Graphs";#N/A,#N/A,FALSE,"4 Panel"}</definedName>
    <definedName name="_____New17" localSheetId="10" hidden="1">{#N/A,#N/A,FALSE,"SMT1";#N/A,#N/A,FALSE,"SMT2";#N/A,#N/A,FALSE,"Summary";#N/A,#N/A,FALSE,"Graphs";#N/A,#N/A,FALSE,"4 Panel"}</definedName>
    <definedName name="_____New17" hidden="1">{#N/A,#N/A,FALSE,"SMT1";#N/A,#N/A,FALSE,"SMT2";#N/A,#N/A,FALSE,"Summary";#N/A,#N/A,FALSE,"Graphs";#N/A,#N/A,FALSE,"4 Panel"}</definedName>
    <definedName name="_____New18" localSheetId="10" hidden="1">{#N/A,#N/A,FALSE,"Full";#N/A,#N/A,FALSE,"Half";#N/A,#N/A,FALSE,"Op Expenses";#N/A,#N/A,FALSE,"Cap Charge";#N/A,#N/A,FALSE,"Cost C";#N/A,#N/A,FALSE,"PP&amp;E";#N/A,#N/A,FALSE,"R&amp;D"}</definedName>
    <definedName name="_____New18" hidden="1">{#N/A,#N/A,FALSE,"Full";#N/A,#N/A,FALSE,"Half";#N/A,#N/A,FALSE,"Op Expenses";#N/A,#N/A,FALSE,"Cap Charge";#N/A,#N/A,FALSE,"Cost C";#N/A,#N/A,FALSE,"PP&amp;E";#N/A,#N/A,FALSE,"R&amp;D"}</definedName>
    <definedName name="_____New19" localSheetId="10" hidden="1">{"EVA",#N/A,FALSE,"SMT2";#N/A,#N/A,FALSE,"Summary";#N/A,#N/A,FALSE,"Graphs";#N/A,#N/A,FALSE,"4 Panel"}</definedName>
    <definedName name="_____New19" hidden="1">{"EVA",#N/A,FALSE,"SMT2";#N/A,#N/A,FALSE,"Summary";#N/A,#N/A,FALSE,"Graphs";#N/A,#N/A,FALSE,"4 Panel"}</definedName>
    <definedName name="_____New20" localSheetId="10" hidden="1">{#N/A,#N/A,FALSE,"SMT1";#N/A,#N/A,FALSE,"SMT2";#N/A,#N/A,FALSE,"Summary";#N/A,#N/A,FALSE,"Graphs";#N/A,#N/A,FALSE,"4 Panel"}</definedName>
    <definedName name="_____New20" hidden="1">{#N/A,#N/A,FALSE,"SMT1";#N/A,#N/A,FALSE,"SMT2";#N/A,#N/A,FALSE,"Summary";#N/A,#N/A,FALSE,"Graphs";#N/A,#N/A,FALSE,"4 Panel"}</definedName>
    <definedName name="_____New21" localSheetId="10" hidden="1">{#N/A,#N/A,FALSE,"Full";#N/A,#N/A,FALSE,"Half";#N/A,#N/A,FALSE,"Op Expenses";#N/A,#N/A,FALSE,"Cap Charge";#N/A,#N/A,FALSE,"Cost C";#N/A,#N/A,FALSE,"PP&amp;E";#N/A,#N/A,FALSE,"R&amp;D"}</definedName>
    <definedName name="_____New21" hidden="1">{#N/A,#N/A,FALSE,"Full";#N/A,#N/A,FALSE,"Half";#N/A,#N/A,FALSE,"Op Expenses";#N/A,#N/A,FALSE,"Cap Charge";#N/A,#N/A,FALSE,"Cost C";#N/A,#N/A,FALSE,"PP&amp;E";#N/A,#N/A,FALSE,"R&amp;D"}</definedName>
    <definedName name="_____NEW3" localSheetId="10" hidden="1">{#N/A,#N/A,FALSE,"SMT1";#N/A,#N/A,FALSE,"SMT2";#N/A,#N/A,FALSE,"Summary";#N/A,#N/A,FALSE,"Graphs";#N/A,#N/A,FALSE,"4 Panel"}</definedName>
    <definedName name="_____NEW3" hidden="1">{#N/A,#N/A,FALSE,"SMT1";#N/A,#N/A,FALSE,"SMT2";#N/A,#N/A,FALSE,"Summary";#N/A,#N/A,FALSE,"Graphs";#N/A,#N/A,FALSE,"4 Panel"}</definedName>
    <definedName name="_____nEW30" localSheetId="10" hidden="1">{"EVA",#N/A,FALSE,"SMT2";#N/A,#N/A,FALSE,"Summary";#N/A,#N/A,FALSE,"Graphs";#N/A,#N/A,FALSE,"4 Panel"}</definedName>
    <definedName name="_____nEW30" hidden="1">{"EVA",#N/A,FALSE,"SMT2";#N/A,#N/A,FALSE,"Summary";#N/A,#N/A,FALSE,"Graphs";#N/A,#N/A,FALSE,"4 Panel"}</definedName>
    <definedName name="_____New31" localSheetId="10" hidden="1">{#N/A,#N/A,FALSE,"SMT1";#N/A,#N/A,FALSE,"SMT2";#N/A,#N/A,FALSE,"Summary";#N/A,#N/A,FALSE,"Graphs";#N/A,#N/A,FALSE,"4 Panel"}</definedName>
    <definedName name="_____New31" hidden="1">{#N/A,#N/A,FALSE,"SMT1";#N/A,#N/A,FALSE,"SMT2";#N/A,#N/A,FALSE,"Summary";#N/A,#N/A,FALSE,"Graphs";#N/A,#N/A,FALSE,"4 Panel"}</definedName>
    <definedName name="_____New32" localSheetId="10" hidden="1">{#N/A,#N/A,FALSE,"SMT1";#N/A,#N/A,FALSE,"SMT2";#N/A,#N/A,FALSE,"Summary";#N/A,#N/A,FALSE,"Graphs";#N/A,#N/A,FALSE,"4 Panel"}</definedName>
    <definedName name="_____New32" hidden="1">{#N/A,#N/A,FALSE,"SMT1";#N/A,#N/A,FALSE,"SMT2";#N/A,#N/A,FALSE,"Summary";#N/A,#N/A,FALSE,"Graphs";#N/A,#N/A,FALSE,"4 Panel"}</definedName>
    <definedName name="_____New33" localSheetId="10" hidden="1">{#N/A,#N/A,FALSE,"Full";#N/A,#N/A,FALSE,"Half";#N/A,#N/A,FALSE,"Op Expenses";#N/A,#N/A,FALSE,"Cap Charge";#N/A,#N/A,FALSE,"Cost C";#N/A,#N/A,FALSE,"PP&amp;E";#N/A,#N/A,FALSE,"R&amp;D"}</definedName>
    <definedName name="_____New33" hidden="1">{#N/A,#N/A,FALSE,"Full";#N/A,#N/A,FALSE,"Half";#N/A,#N/A,FALSE,"Op Expenses";#N/A,#N/A,FALSE,"Cap Charge";#N/A,#N/A,FALSE,"Cost C";#N/A,#N/A,FALSE,"PP&amp;E";#N/A,#N/A,FALSE,"R&amp;D"}</definedName>
    <definedName name="_____New34" localSheetId="10" hidden="1">{"EVA",#N/A,FALSE,"SMT2";#N/A,#N/A,FALSE,"Summary";#N/A,#N/A,FALSE,"Graphs";#N/A,#N/A,FALSE,"4 Panel"}</definedName>
    <definedName name="_____New34" hidden="1">{"EVA",#N/A,FALSE,"SMT2";#N/A,#N/A,FALSE,"Summary";#N/A,#N/A,FALSE,"Graphs";#N/A,#N/A,FALSE,"4 Panel"}</definedName>
    <definedName name="_____New35" localSheetId="10" hidden="1">{#N/A,#N/A,FALSE,"SMT1";#N/A,#N/A,FALSE,"SMT2";#N/A,#N/A,FALSE,"Summary";#N/A,#N/A,FALSE,"Graphs";#N/A,#N/A,FALSE,"4 Panel"}</definedName>
    <definedName name="_____New35" hidden="1">{#N/A,#N/A,FALSE,"SMT1";#N/A,#N/A,FALSE,"SMT2";#N/A,#N/A,FALSE,"Summary";#N/A,#N/A,FALSE,"Graphs";#N/A,#N/A,FALSE,"4 Panel"}</definedName>
    <definedName name="_____New36" localSheetId="10" hidden="1">{#N/A,#N/A,FALSE,"Full";#N/A,#N/A,FALSE,"Half";#N/A,#N/A,FALSE,"Op Expenses";#N/A,#N/A,FALSE,"Cap Charge";#N/A,#N/A,FALSE,"Cost C";#N/A,#N/A,FALSE,"PP&amp;E";#N/A,#N/A,FALSE,"R&amp;D"}</definedName>
    <definedName name="_____New36" hidden="1">{#N/A,#N/A,FALSE,"Full";#N/A,#N/A,FALSE,"Half";#N/A,#N/A,FALSE,"Op Expenses";#N/A,#N/A,FALSE,"Cap Charge";#N/A,#N/A,FALSE,"Cost C";#N/A,#N/A,FALSE,"PP&amp;E";#N/A,#N/A,FALSE,"R&amp;D"}</definedName>
    <definedName name="_____NEW4" localSheetId="10" hidden="1">{#N/A,#N/A,FALSE,"Full";#N/A,#N/A,FALSE,"Half";#N/A,#N/A,FALSE,"Op Expenses";#N/A,#N/A,FALSE,"Cap Charge";#N/A,#N/A,FALSE,"Cost C";#N/A,#N/A,FALSE,"PP&amp;E";#N/A,#N/A,FALSE,"R&amp;D"}</definedName>
    <definedName name="_____NEW4" hidden="1">{#N/A,#N/A,FALSE,"Full";#N/A,#N/A,FALSE,"Half";#N/A,#N/A,FALSE,"Op Expenses";#N/A,#N/A,FALSE,"Cap Charge";#N/A,#N/A,FALSE,"Cost C";#N/A,#N/A,FALSE,"PP&amp;E";#N/A,#N/A,FALSE,"R&amp;D"}</definedName>
    <definedName name="_____PYG3" localSheetId="9" hidden="1">{#N/A,#N/A,FALSE,"balance";#N/A,#N/A,FALSE,"PYG"}</definedName>
    <definedName name="_____PYG3" localSheetId="10" hidden="1">{#N/A,#N/A,FALSE,"balance";#N/A,#N/A,FALSE,"PYG"}</definedName>
    <definedName name="_____PYG3" hidden="1">{#N/A,#N/A,FALSE,"balance";#N/A,#N/A,FALSE,"PYG"}</definedName>
    <definedName name="_____R" localSheetId="10" hidden="1">{#N/A,#N/A,FALSE,"GRAFICO";#N/A,#N/A,FALSE,"CAJA (2)";#N/A,#N/A,FALSE,"TERCEROS-PROMEDIO";#N/A,#N/A,FALSE,"CAJA";#N/A,#N/A,FALSE,"INGRESOS1995-2003";#N/A,#N/A,FALSE,"GASTOS1995-2003"}</definedName>
    <definedName name="_____R" hidden="1">{#N/A,#N/A,FALSE,"GRAFICO";#N/A,#N/A,FALSE,"CAJA (2)";#N/A,#N/A,FALSE,"TERCEROS-PROMEDIO";#N/A,#N/A,FALSE,"CAJA";#N/A,#N/A,FALSE,"INGRESOS1995-2003";#N/A,#N/A,FALSE,"GASTOS1995-2003"}</definedName>
    <definedName name="____GGF2" localSheetId="9" hidden="1">{#N/A,#N/A,FALSE,"balance";#N/A,#N/A,FALSE,"PYG"}</definedName>
    <definedName name="____GGF2" localSheetId="10" hidden="1">{#N/A,#N/A,FALSE,"balance";#N/A,#N/A,FALSE,"PYG"}</definedName>
    <definedName name="____GGF2" hidden="1">{#N/A,#N/A,FALSE,"balance";#N/A,#N/A,FALSE,"PYG"}</definedName>
    <definedName name="____new1" localSheetId="10" hidden="1">{#N/A,#N/A,FALSE,"SMT1";#N/A,#N/A,FALSE,"SMT2";#N/A,#N/A,FALSE,"Summary";#N/A,#N/A,FALSE,"Graphs";#N/A,#N/A,FALSE,"4 Panel"}</definedName>
    <definedName name="____new1" hidden="1">{#N/A,#N/A,FALSE,"SMT1";#N/A,#N/A,FALSE,"SMT2";#N/A,#N/A,FALSE,"Summary";#N/A,#N/A,FALSE,"Graphs";#N/A,#N/A,FALSE,"4 Panel"}</definedName>
    <definedName name="____New15" localSheetId="10" hidden="1">{"EVA",#N/A,FALSE,"SMT2";#N/A,#N/A,FALSE,"Summary";#N/A,#N/A,FALSE,"Graphs";#N/A,#N/A,FALSE,"4 Panel"}</definedName>
    <definedName name="____New15" hidden="1">{"EVA",#N/A,FALSE,"SMT2";#N/A,#N/A,FALSE,"Summary";#N/A,#N/A,FALSE,"Graphs";#N/A,#N/A,FALSE,"4 Panel"}</definedName>
    <definedName name="____New16" localSheetId="10" hidden="1">{#N/A,#N/A,FALSE,"SMT1";#N/A,#N/A,FALSE,"SMT2";#N/A,#N/A,FALSE,"Summary";#N/A,#N/A,FALSE,"Graphs";#N/A,#N/A,FALSE,"4 Panel"}</definedName>
    <definedName name="____New16" hidden="1">{#N/A,#N/A,FALSE,"SMT1";#N/A,#N/A,FALSE,"SMT2";#N/A,#N/A,FALSE,"Summary";#N/A,#N/A,FALSE,"Graphs";#N/A,#N/A,FALSE,"4 Panel"}</definedName>
    <definedName name="____New17" localSheetId="10" hidden="1">{#N/A,#N/A,FALSE,"SMT1";#N/A,#N/A,FALSE,"SMT2";#N/A,#N/A,FALSE,"Summary";#N/A,#N/A,FALSE,"Graphs";#N/A,#N/A,FALSE,"4 Panel"}</definedName>
    <definedName name="____New17" hidden="1">{#N/A,#N/A,FALSE,"SMT1";#N/A,#N/A,FALSE,"SMT2";#N/A,#N/A,FALSE,"Summary";#N/A,#N/A,FALSE,"Graphs";#N/A,#N/A,FALSE,"4 Panel"}</definedName>
    <definedName name="____New18" localSheetId="10" hidden="1">{#N/A,#N/A,FALSE,"Full";#N/A,#N/A,FALSE,"Half";#N/A,#N/A,FALSE,"Op Expenses";#N/A,#N/A,FALSE,"Cap Charge";#N/A,#N/A,FALSE,"Cost C";#N/A,#N/A,FALSE,"PP&amp;E";#N/A,#N/A,FALSE,"R&amp;D"}</definedName>
    <definedName name="____New18" hidden="1">{#N/A,#N/A,FALSE,"Full";#N/A,#N/A,FALSE,"Half";#N/A,#N/A,FALSE,"Op Expenses";#N/A,#N/A,FALSE,"Cap Charge";#N/A,#N/A,FALSE,"Cost C";#N/A,#N/A,FALSE,"PP&amp;E";#N/A,#N/A,FALSE,"R&amp;D"}</definedName>
    <definedName name="____New19" localSheetId="10" hidden="1">{"EVA",#N/A,FALSE,"SMT2";#N/A,#N/A,FALSE,"Summary";#N/A,#N/A,FALSE,"Graphs";#N/A,#N/A,FALSE,"4 Panel"}</definedName>
    <definedName name="____New19" hidden="1">{"EVA",#N/A,FALSE,"SMT2";#N/A,#N/A,FALSE,"Summary";#N/A,#N/A,FALSE,"Graphs";#N/A,#N/A,FALSE,"4 Panel"}</definedName>
    <definedName name="____New20" localSheetId="10" hidden="1">{#N/A,#N/A,FALSE,"SMT1";#N/A,#N/A,FALSE,"SMT2";#N/A,#N/A,FALSE,"Summary";#N/A,#N/A,FALSE,"Graphs";#N/A,#N/A,FALSE,"4 Panel"}</definedName>
    <definedName name="____New20" hidden="1">{#N/A,#N/A,FALSE,"SMT1";#N/A,#N/A,FALSE,"SMT2";#N/A,#N/A,FALSE,"Summary";#N/A,#N/A,FALSE,"Graphs";#N/A,#N/A,FALSE,"4 Panel"}</definedName>
    <definedName name="____New21" localSheetId="10" hidden="1">{#N/A,#N/A,FALSE,"Full";#N/A,#N/A,FALSE,"Half";#N/A,#N/A,FALSE,"Op Expenses";#N/A,#N/A,FALSE,"Cap Charge";#N/A,#N/A,FALSE,"Cost C";#N/A,#N/A,FALSE,"PP&amp;E";#N/A,#N/A,FALSE,"R&amp;D"}</definedName>
    <definedName name="____New21" hidden="1">{#N/A,#N/A,FALSE,"Full";#N/A,#N/A,FALSE,"Half";#N/A,#N/A,FALSE,"Op Expenses";#N/A,#N/A,FALSE,"Cap Charge";#N/A,#N/A,FALSE,"Cost C";#N/A,#N/A,FALSE,"PP&amp;E";#N/A,#N/A,FALSE,"R&amp;D"}</definedName>
    <definedName name="____NEW3" localSheetId="10" hidden="1">{#N/A,#N/A,FALSE,"SMT1";#N/A,#N/A,FALSE,"SMT2";#N/A,#N/A,FALSE,"Summary";#N/A,#N/A,FALSE,"Graphs";#N/A,#N/A,FALSE,"4 Panel"}</definedName>
    <definedName name="____NEW3" hidden="1">{#N/A,#N/A,FALSE,"SMT1";#N/A,#N/A,FALSE,"SMT2";#N/A,#N/A,FALSE,"Summary";#N/A,#N/A,FALSE,"Graphs";#N/A,#N/A,FALSE,"4 Panel"}</definedName>
    <definedName name="____nEW30" localSheetId="10" hidden="1">{"EVA",#N/A,FALSE,"SMT2";#N/A,#N/A,FALSE,"Summary";#N/A,#N/A,FALSE,"Graphs";#N/A,#N/A,FALSE,"4 Panel"}</definedName>
    <definedName name="____nEW30" hidden="1">{"EVA",#N/A,FALSE,"SMT2";#N/A,#N/A,FALSE,"Summary";#N/A,#N/A,FALSE,"Graphs";#N/A,#N/A,FALSE,"4 Panel"}</definedName>
    <definedName name="____New31" localSheetId="10" hidden="1">{#N/A,#N/A,FALSE,"SMT1";#N/A,#N/A,FALSE,"SMT2";#N/A,#N/A,FALSE,"Summary";#N/A,#N/A,FALSE,"Graphs";#N/A,#N/A,FALSE,"4 Panel"}</definedName>
    <definedName name="____New31" hidden="1">{#N/A,#N/A,FALSE,"SMT1";#N/A,#N/A,FALSE,"SMT2";#N/A,#N/A,FALSE,"Summary";#N/A,#N/A,FALSE,"Graphs";#N/A,#N/A,FALSE,"4 Panel"}</definedName>
    <definedName name="____New32" localSheetId="10" hidden="1">{#N/A,#N/A,FALSE,"SMT1";#N/A,#N/A,FALSE,"SMT2";#N/A,#N/A,FALSE,"Summary";#N/A,#N/A,FALSE,"Graphs";#N/A,#N/A,FALSE,"4 Panel"}</definedName>
    <definedName name="____New32" hidden="1">{#N/A,#N/A,FALSE,"SMT1";#N/A,#N/A,FALSE,"SMT2";#N/A,#N/A,FALSE,"Summary";#N/A,#N/A,FALSE,"Graphs";#N/A,#N/A,FALSE,"4 Panel"}</definedName>
    <definedName name="____New33" localSheetId="10" hidden="1">{#N/A,#N/A,FALSE,"Full";#N/A,#N/A,FALSE,"Half";#N/A,#N/A,FALSE,"Op Expenses";#N/A,#N/A,FALSE,"Cap Charge";#N/A,#N/A,FALSE,"Cost C";#N/A,#N/A,FALSE,"PP&amp;E";#N/A,#N/A,FALSE,"R&amp;D"}</definedName>
    <definedName name="____New33" hidden="1">{#N/A,#N/A,FALSE,"Full";#N/A,#N/A,FALSE,"Half";#N/A,#N/A,FALSE,"Op Expenses";#N/A,#N/A,FALSE,"Cap Charge";#N/A,#N/A,FALSE,"Cost C";#N/A,#N/A,FALSE,"PP&amp;E";#N/A,#N/A,FALSE,"R&amp;D"}</definedName>
    <definedName name="____New34" localSheetId="10" hidden="1">{"EVA",#N/A,FALSE,"SMT2";#N/A,#N/A,FALSE,"Summary";#N/A,#N/A,FALSE,"Graphs";#N/A,#N/A,FALSE,"4 Panel"}</definedName>
    <definedName name="____New34" hidden="1">{"EVA",#N/A,FALSE,"SMT2";#N/A,#N/A,FALSE,"Summary";#N/A,#N/A,FALSE,"Graphs";#N/A,#N/A,FALSE,"4 Panel"}</definedName>
    <definedName name="____New35" localSheetId="10" hidden="1">{#N/A,#N/A,FALSE,"SMT1";#N/A,#N/A,FALSE,"SMT2";#N/A,#N/A,FALSE,"Summary";#N/A,#N/A,FALSE,"Graphs";#N/A,#N/A,FALSE,"4 Panel"}</definedName>
    <definedName name="____New35" hidden="1">{#N/A,#N/A,FALSE,"SMT1";#N/A,#N/A,FALSE,"SMT2";#N/A,#N/A,FALSE,"Summary";#N/A,#N/A,FALSE,"Graphs";#N/A,#N/A,FALSE,"4 Panel"}</definedName>
    <definedName name="____New36" localSheetId="10" hidden="1">{#N/A,#N/A,FALSE,"Full";#N/A,#N/A,FALSE,"Half";#N/A,#N/A,FALSE,"Op Expenses";#N/A,#N/A,FALSE,"Cap Charge";#N/A,#N/A,FALSE,"Cost C";#N/A,#N/A,FALSE,"PP&amp;E";#N/A,#N/A,FALSE,"R&amp;D"}</definedName>
    <definedName name="____New36" hidden="1">{#N/A,#N/A,FALSE,"Full";#N/A,#N/A,FALSE,"Half";#N/A,#N/A,FALSE,"Op Expenses";#N/A,#N/A,FALSE,"Cap Charge";#N/A,#N/A,FALSE,"Cost C";#N/A,#N/A,FALSE,"PP&amp;E";#N/A,#N/A,FALSE,"R&amp;D"}</definedName>
    <definedName name="____NEW4" localSheetId="10" hidden="1">{#N/A,#N/A,FALSE,"Full";#N/A,#N/A,FALSE,"Half";#N/A,#N/A,FALSE,"Op Expenses";#N/A,#N/A,FALSE,"Cap Charge";#N/A,#N/A,FALSE,"Cost C";#N/A,#N/A,FALSE,"PP&amp;E";#N/A,#N/A,FALSE,"R&amp;D"}</definedName>
    <definedName name="____NEW4" hidden="1">{#N/A,#N/A,FALSE,"Full";#N/A,#N/A,FALSE,"Half";#N/A,#N/A,FALSE,"Op Expenses";#N/A,#N/A,FALSE,"Cap Charge";#N/A,#N/A,FALSE,"Cost C";#N/A,#N/A,FALSE,"PP&amp;E";#N/A,#N/A,FALSE,"R&amp;D"}</definedName>
    <definedName name="____OCT2" localSheetId="9" hidden="1">{#N/A,#N/A,FALSE,"BL&amp;GPA";#N/A,#N/A,FALSE,"Summary";#N/A,#N/A,FALSE,"hts"}</definedName>
    <definedName name="____OCT2" localSheetId="10" hidden="1">{#N/A,#N/A,FALSE,"BL&amp;GPA";#N/A,#N/A,FALSE,"Summary";#N/A,#N/A,FALSE,"hts"}</definedName>
    <definedName name="____OCT2" hidden="1">{#N/A,#N/A,FALSE,"BL&amp;GPA";#N/A,#N/A,FALSE,"Summary";#N/A,#N/A,FALSE,"hts"}</definedName>
    <definedName name="____ok1" localSheetId="9" hidden="1">{#N/A,#N/A,FALSE,"balance";#N/A,#N/A,FALSE,"PYG"}</definedName>
    <definedName name="____ok1" localSheetId="10" hidden="1">{#N/A,#N/A,FALSE,"balance";#N/A,#N/A,FALSE,"PYG"}</definedName>
    <definedName name="____ok1" hidden="1">{#N/A,#N/A,FALSE,"balance";#N/A,#N/A,FALSE,"PYG"}</definedName>
    <definedName name="____Ok2" localSheetId="9" hidden="1">{#N/A,#N/A,FALSE,"balance";#N/A,#N/A,FALSE,"PYG"}</definedName>
    <definedName name="____Ok2" localSheetId="10" hidden="1">{#N/A,#N/A,FALSE,"balance";#N/A,#N/A,FALSE,"PYG"}</definedName>
    <definedName name="____Ok2" hidden="1">{#N/A,#N/A,FALSE,"balance";#N/A,#N/A,FALSE,"PYG"}</definedName>
    <definedName name="____PyG2" localSheetId="9" hidden="1">{#N/A,#N/A,FALSE,"balance";#N/A,#N/A,FALSE,"PYG"}</definedName>
    <definedName name="____PyG2" localSheetId="10" hidden="1">{#N/A,#N/A,FALSE,"balance";#N/A,#N/A,FALSE,"PYG"}</definedName>
    <definedName name="____PyG2" hidden="1">{#N/A,#N/A,FALSE,"balance";#N/A,#N/A,FALSE,"PYG"}</definedName>
    <definedName name="____PYG3" localSheetId="9" hidden="1">{#N/A,#N/A,FALSE,"balance";#N/A,#N/A,FALSE,"PYG"}</definedName>
    <definedName name="____PYG3" localSheetId="10" hidden="1">{#N/A,#N/A,FALSE,"balance";#N/A,#N/A,FALSE,"PYG"}</definedName>
    <definedName name="____PYG3" hidden="1">{#N/A,#N/A,FALSE,"balance";#N/A,#N/A,FALSE,"PYG"}</definedName>
    <definedName name="____PyG33" localSheetId="9" hidden="1">{#N/A,#N/A,FALSE,"balance";#N/A,#N/A,FALSE,"PYG"}</definedName>
    <definedName name="____PyG33" localSheetId="10" hidden="1">{#N/A,#N/A,FALSE,"balance";#N/A,#N/A,FALSE,"PYG"}</definedName>
    <definedName name="____PyG33" hidden="1">{#N/A,#N/A,FALSE,"balance";#N/A,#N/A,FALSE,"PYG"}</definedName>
    <definedName name="____R" localSheetId="10" hidden="1">{#N/A,#N/A,FALSE,"GRAFICO";#N/A,#N/A,FALSE,"CAJA (2)";#N/A,#N/A,FALSE,"TERCEROS-PROMEDIO";#N/A,#N/A,FALSE,"CAJA";#N/A,#N/A,FALSE,"INGRESOS1995-2003";#N/A,#N/A,FALSE,"GASTOS1995-2003"}</definedName>
    <definedName name="____R" hidden="1">{#N/A,#N/A,FALSE,"GRAFICO";#N/A,#N/A,FALSE,"CAJA (2)";#N/A,#N/A,FALSE,"TERCEROS-PROMEDIO";#N/A,#N/A,FALSE,"CAJA";#N/A,#N/A,FALSE,"INGRESOS1995-2003";#N/A,#N/A,FALSE,"GASTOS1995-2003"}</definedName>
    <definedName name="___new1" localSheetId="10" hidden="1">{#N/A,#N/A,FALSE,"SMT1";#N/A,#N/A,FALSE,"SMT2";#N/A,#N/A,FALSE,"Summary";#N/A,#N/A,FALSE,"Graphs";#N/A,#N/A,FALSE,"4 Panel"}</definedName>
    <definedName name="___new1" hidden="1">{#N/A,#N/A,FALSE,"SMT1";#N/A,#N/A,FALSE,"SMT2";#N/A,#N/A,FALSE,"Summary";#N/A,#N/A,FALSE,"Graphs";#N/A,#N/A,FALSE,"4 Panel"}</definedName>
    <definedName name="___New15" localSheetId="10" hidden="1">{"EVA",#N/A,FALSE,"SMT2";#N/A,#N/A,FALSE,"Summary";#N/A,#N/A,FALSE,"Graphs";#N/A,#N/A,FALSE,"4 Panel"}</definedName>
    <definedName name="___New15" hidden="1">{"EVA",#N/A,FALSE,"SMT2";#N/A,#N/A,FALSE,"Summary";#N/A,#N/A,FALSE,"Graphs";#N/A,#N/A,FALSE,"4 Panel"}</definedName>
    <definedName name="___New16" localSheetId="10" hidden="1">{#N/A,#N/A,FALSE,"SMT1";#N/A,#N/A,FALSE,"SMT2";#N/A,#N/A,FALSE,"Summary";#N/A,#N/A,FALSE,"Graphs";#N/A,#N/A,FALSE,"4 Panel"}</definedName>
    <definedName name="___New16" hidden="1">{#N/A,#N/A,FALSE,"SMT1";#N/A,#N/A,FALSE,"SMT2";#N/A,#N/A,FALSE,"Summary";#N/A,#N/A,FALSE,"Graphs";#N/A,#N/A,FALSE,"4 Panel"}</definedName>
    <definedName name="___New17" localSheetId="10" hidden="1">{#N/A,#N/A,FALSE,"SMT1";#N/A,#N/A,FALSE,"SMT2";#N/A,#N/A,FALSE,"Summary";#N/A,#N/A,FALSE,"Graphs";#N/A,#N/A,FALSE,"4 Panel"}</definedName>
    <definedName name="___New17" hidden="1">{#N/A,#N/A,FALSE,"SMT1";#N/A,#N/A,FALSE,"SMT2";#N/A,#N/A,FALSE,"Summary";#N/A,#N/A,FALSE,"Graphs";#N/A,#N/A,FALSE,"4 Panel"}</definedName>
    <definedName name="___New18" localSheetId="10" hidden="1">{#N/A,#N/A,FALSE,"Full";#N/A,#N/A,FALSE,"Half";#N/A,#N/A,FALSE,"Op Expenses";#N/A,#N/A,FALSE,"Cap Charge";#N/A,#N/A,FALSE,"Cost C";#N/A,#N/A,FALSE,"PP&amp;E";#N/A,#N/A,FALSE,"R&amp;D"}</definedName>
    <definedName name="___New18" hidden="1">{#N/A,#N/A,FALSE,"Full";#N/A,#N/A,FALSE,"Half";#N/A,#N/A,FALSE,"Op Expenses";#N/A,#N/A,FALSE,"Cap Charge";#N/A,#N/A,FALSE,"Cost C";#N/A,#N/A,FALSE,"PP&amp;E";#N/A,#N/A,FALSE,"R&amp;D"}</definedName>
    <definedName name="___New19" localSheetId="10" hidden="1">{"EVA",#N/A,FALSE,"SMT2";#N/A,#N/A,FALSE,"Summary";#N/A,#N/A,FALSE,"Graphs";#N/A,#N/A,FALSE,"4 Panel"}</definedName>
    <definedName name="___New19" hidden="1">{"EVA",#N/A,FALSE,"SMT2";#N/A,#N/A,FALSE,"Summary";#N/A,#N/A,FALSE,"Graphs";#N/A,#N/A,FALSE,"4 Panel"}</definedName>
    <definedName name="___New20" localSheetId="10" hidden="1">{#N/A,#N/A,FALSE,"SMT1";#N/A,#N/A,FALSE,"SMT2";#N/A,#N/A,FALSE,"Summary";#N/A,#N/A,FALSE,"Graphs";#N/A,#N/A,FALSE,"4 Panel"}</definedName>
    <definedName name="___New20" hidden="1">{#N/A,#N/A,FALSE,"SMT1";#N/A,#N/A,FALSE,"SMT2";#N/A,#N/A,FALSE,"Summary";#N/A,#N/A,FALSE,"Graphs";#N/A,#N/A,FALSE,"4 Panel"}</definedName>
    <definedName name="___New21" localSheetId="10" hidden="1">{#N/A,#N/A,FALSE,"Full";#N/A,#N/A,FALSE,"Half";#N/A,#N/A,FALSE,"Op Expenses";#N/A,#N/A,FALSE,"Cap Charge";#N/A,#N/A,FALSE,"Cost C";#N/A,#N/A,FALSE,"PP&amp;E";#N/A,#N/A,FALSE,"R&amp;D"}</definedName>
    <definedName name="___New21" hidden="1">{#N/A,#N/A,FALSE,"Full";#N/A,#N/A,FALSE,"Half";#N/A,#N/A,FALSE,"Op Expenses";#N/A,#N/A,FALSE,"Cap Charge";#N/A,#N/A,FALSE,"Cost C";#N/A,#N/A,FALSE,"PP&amp;E";#N/A,#N/A,FALSE,"R&amp;D"}</definedName>
    <definedName name="___NEW3" localSheetId="10" hidden="1">{#N/A,#N/A,FALSE,"SMT1";#N/A,#N/A,FALSE,"SMT2";#N/A,#N/A,FALSE,"Summary";#N/A,#N/A,FALSE,"Graphs";#N/A,#N/A,FALSE,"4 Panel"}</definedName>
    <definedName name="___NEW3" hidden="1">{#N/A,#N/A,FALSE,"SMT1";#N/A,#N/A,FALSE,"SMT2";#N/A,#N/A,FALSE,"Summary";#N/A,#N/A,FALSE,"Graphs";#N/A,#N/A,FALSE,"4 Panel"}</definedName>
    <definedName name="___nEW30" localSheetId="10" hidden="1">{"EVA",#N/A,FALSE,"SMT2";#N/A,#N/A,FALSE,"Summary";#N/A,#N/A,FALSE,"Graphs";#N/A,#N/A,FALSE,"4 Panel"}</definedName>
    <definedName name="___nEW30" hidden="1">{"EVA",#N/A,FALSE,"SMT2";#N/A,#N/A,FALSE,"Summary";#N/A,#N/A,FALSE,"Graphs";#N/A,#N/A,FALSE,"4 Panel"}</definedName>
    <definedName name="___New31" localSheetId="10" hidden="1">{#N/A,#N/A,FALSE,"SMT1";#N/A,#N/A,FALSE,"SMT2";#N/A,#N/A,FALSE,"Summary";#N/A,#N/A,FALSE,"Graphs";#N/A,#N/A,FALSE,"4 Panel"}</definedName>
    <definedName name="___New31" hidden="1">{#N/A,#N/A,FALSE,"SMT1";#N/A,#N/A,FALSE,"SMT2";#N/A,#N/A,FALSE,"Summary";#N/A,#N/A,FALSE,"Graphs";#N/A,#N/A,FALSE,"4 Panel"}</definedName>
    <definedName name="___New32" localSheetId="10" hidden="1">{#N/A,#N/A,FALSE,"SMT1";#N/A,#N/A,FALSE,"SMT2";#N/A,#N/A,FALSE,"Summary";#N/A,#N/A,FALSE,"Graphs";#N/A,#N/A,FALSE,"4 Panel"}</definedName>
    <definedName name="___New32" hidden="1">{#N/A,#N/A,FALSE,"SMT1";#N/A,#N/A,FALSE,"SMT2";#N/A,#N/A,FALSE,"Summary";#N/A,#N/A,FALSE,"Graphs";#N/A,#N/A,FALSE,"4 Panel"}</definedName>
    <definedName name="___New33" localSheetId="10" hidden="1">{#N/A,#N/A,FALSE,"Full";#N/A,#N/A,FALSE,"Half";#N/A,#N/A,FALSE,"Op Expenses";#N/A,#N/A,FALSE,"Cap Charge";#N/A,#N/A,FALSE,"Cost C";#N/A,#N/A,FALSE,"PP&amp;E";#N/A,#N/A,FALSE,"R&amp;D"}</definedName>
    <definedName name="___New33" hidden="1">{#N/A,#N/A,FALSE,"Full";#N/A,#N/A,FALSE,"Half";#N/A,#N/A,FALSE,"Op Expenses";#N/A,#N/A,FALSE,"Cap Charge";#N/A,#N/A,FALSE,"Cost C";#N/A,#N/A,FALSE,"PP&amp;E";#N/A,#N/A,FALSE,"R&amp;D"}</definedName>
    <definedName name="___New34" localSheetId="10" hidden="1">{"EVA",#N/A,FALSE,"SMT2";#N/A,#N/A,FALSE,"Summary";#N/A,#N/A,FALSE,"Graphs";#N/A,#N/A,FALSE,"4 Panel"}</definedName>
    <definedName name="___New34" hidden="1">{"EVA",#N/A,FALSE,"SMT2";#N/A,#N/A,FALSE,"Summary";#N/A,#N/A,FALSE,"Graphs";#N/A,#N/A,FALSE,"4 Panel"}</definedName>
    <definedName name="___New35" localSheetId="10" hidden="1">{#N/A,#N/A,FALSE,"SMT1";#N/A,#N/A,FALSE,"SMT2";#N/A,#N/A,FALSE,"Summary";#N/A,#N/A,FALSE,"Graphs";#N/A,#N/A,FALSE,"4 Panel"}</definedName>
    <definedName name="___New35" hidden="1">{#N/A,#N/A,FALSE,"SMT1";#N/A,#N/A,FALSE,"SMT2";#N/A,#N/A,FALSE,"Summary";#N/A,#N/A,FALSE,"Graphs";#N/A,#N/A,FALSE,"4 Panel"}</definedName>
    <definedName name="___New36" localSheetId="10" hidden="1">{#N/A,#N/A,FALSE,"Full";#N/A,#N/A,FALSE,"Half";#N/A,#N/A,FALSE,"Op Expenses";#N/A,#N/A,FALSE,"Cap Charge";#N/A,#N/A,FALSE,"Cost C";#N/A,#N/A,FALSE,"PP&amp;E";#N/A,#N/A,FALSE,"R&amp;D"}</definedName>
    <definedName name="___New36" hidden="1">{#N/A,#N/A,FALSE,"Full";#N/A,#N/A,FALSE,"Half";#N/A,#N/A,FALSE,"Op Expenses";#N/A,#N/A,FALSE,"Cap Charge";#N/A,#N/A,FALSE,"Cost C";#N/A,#N/A,FALSE,"PP&amp;E";#N/A,#N/A,FALSE,"R&amp;D"}</definedName>
    <definedName name="___NEW4" localSheetId="10" hidden="1">{#N/A,#N/A,FALSE,"Full";#N/A,#N/A,FALSE,"Half";#N/A,#N/A,FALSE,"Op Expenses";#N/A,#N/A,FALSE,"Cap Charge";#N/A,#N/A,FALSE,"Cost C";#N/A,#N/A,FALSE,"PP&amp;E";#N/A,#N/A,FALSE,"R&amp;D"}</definedName>
    <definedName name="___NEW4" hidden="1">{#N/A,#N/A,FALSE,"Full";#N/A,#N/A,FALSE,"Half";#N/A,#N/A,FALSE,"Op Expenses";#N/A,#N/A,FALSE,"Cap Charge";#N/A,#N/A,FALSE,"Cost C";#N/A,#N/A,FALSE,"PP&amp;E";#N/A,#N/A,FALSE,"R&amp;D"}</definedName>
    <definedName name="___R" localSheetId="10" hidden="1">{#N/A,#N/A,FALSE,"GRAFICO";#N/A,#N/A,FALSE,"CAJA (2)";#N/A,#N/A,FALSE,"TERCEROS-PROMEDIO";#N/A,#N/A,FALSE,"CAJA";#N/A,#N/A,FALSE,"INGRESOS1995-2003";#N/A,#N/A,FALSE,"GASTOS1995-2003"}</definedName>
    <definedName name="___R" hidden="1">{#N/A,#N/A,FALSE,"GRAFICO";#N/A,#N/A,FALSE,"CAJA (2)";#N/A,#N/A,FALSE,"TERCEROS-PROMEDIO";#N/A,#N/A,FALSE,"CAJA";#N/A,#N/A,FALSE,"INGRESOS1995-2003";#N/A,#N/A,FALSE,"GASTOS1995-2003"}</definedName>
    <definedName name="__123Graph_A" hidden="1">[1]EXTRA!$B$12:$B$31</definedName>
    <definedName name="__123Graph_ACAPTACIO" hidden="1">[2]COMPENSACIONES!#REF!</definedName>
    <definedName name="__123Graph_ACAPTUEN" hidden="1">[2]COMPENSACIONES!#REF!</definedName>
    <definedName name="__123Graph_B" hidden="1">[1]EXTRA!$C$12:$C$31</definedName>
    <definedName name="__123Graph_BCAPTUEN" hidden="1">[2]COMPENSACIONES!#REF!</definedName>
    <definedName name="__123Graph_C" hidden="1">[1]EXTRA!$D$12:$D$31</definedName>
    <definedName name="__123Graph_CCAPTUEN" hidden="1">[2]COMPENSACIONES!#REF!</definedName>
    <definedName name="__123Graph_D" hidden="1">[1]EXTRA!$E$12:$E$31</definedName>
    <definedName name="__123Graph_DCAPTUEN" hidden="1">[2]COMPENSACIONES!#REF!</definedName>
    <definedName name="__123Graph_E" hidden="1">[1]EXTRA!$F$12:$F$31</definedName>
    <definedName name="__123Graph_F" hidden="1">[1]EXTRA!$G$12:$G$31</definedName>
    <definedName name="__123Graph_X" hidden="1">'[1]Sdo.Empres.Grupo.'!$A$6:$A$58</definedName>
    <definedName name="__123Graph_XCAPTACIO" hidden="1">[2]COMPENSACIONES!#REF!</definedName>
    <definedName name="__123Graph_XCAPTUEN" hidden="1">[2]COMPENSACIONES!#REF!</definedName>
    <definedName name="__GGF2" localSheetId="9" hidden="1">{#N/A,#N/A,FALSE,"balance";#N/A,#N/A,FALSE,"PYG"}</definedName>
    <definedName name="__GGF2" localSheetId="10" hidden="1">{#N/A,#N/A,FALSE,"balance";#N/A,#N/A,FALSE,"PYG"}</definedName>
    <definedName name="__GGF2" hidden="1">{#N/A,#N/A,FALSE,"balance";#N/A,#N/A,FALSE,"PYG"}</definedName>
    <definedName name="__new1" localSheetId="10" hidden="1">{#N/A,#N/A,FALSE,"SMT1";#N/A,#N/A,FALSE,"SMT2";#N/A,#N/A,FALSE,"Summary";#N/A,#N/A,FALSE,"Graphs";#N/A,#N/A,FALSE,"4 Panel"}</definedName>
    <definedName name="__new1" hidden="1">{#N/A,#N/A,FALSE,"SMT1";#N/A,#N/A,FALSE,"SMT2";#N/A,#N/A,FALSE,"Summary";#N/A,#N/A,FALSE,"Graphs";#N/A,#N/A,FALSE,"4 Panel"}</definedName>
    <definedName name="__New15" localSheetId="10" hidden="1">{"EVA",#N/A,FALSE,"SMT2";#N/A,#N/A,FALSE,"Summary";#N/A,#N/A,FALSE,"Graphs";#N/A,#N/A,FALSE,"4 Panel"}</definedName>
    <definedName name="__New15" hidden="1">{"EVA",#N/A,FALSE,"SMT2";#N/A,#N/A,FALSE,"Summary";#N/A,#N/A,FALSE,"Graphs";#N/A,#N/A,FALSE,"4 Panel"}</definedName>
    <definedName name="__New16" localSheetId="10" hidden="1">{#N/A,#N/A,FALSE,"SMT1";#N/A,#N/A,FALSE,"SMT2";#N/A,#N/A,FALSE,"Summary";#N/A,#N/A,FALSE,"Graphs";#N/A,#N/A,FALSE,"4 Panel"}</definedName>
    <definedName name="__New16" hidden="1">{#N/A,#N/A,FALSE,"SMT1";#N/A,#N/A,FALSE,"SMT2";#N/A,#N/A,FALSE,"Summary";#N/A,#N/A,FALSE,"Graphs";#N/A,#N/A,FALSE,"4 Panel"}</definedName>
    <definedName name="__New17" localSheetId="10" hidden="1">{#N/A,#N/A,FALSE,"SMT1";#N/A,#N/A,FALSE,"SMT2";#N/A,#N/A,FALSE,"Summary";#N/A,#N/A,FALSE,"Graphs";#N/A,#N/A,FALSE,"4 Panel"}</definedName>
    <definedName name="__New17" hidden="1">{#N/A,#N/A,FALSE,"SMT1";#N/A,#N/A,FALSE,"SMT2";#N/A,#N/A,FALSE,"Summary";#N/A,#N/A,FALSE,"Graphs";#N/A,#N/A,FALSE,"4 Panel"}</definedName>
    <definedName name="__New18" localSheetId="10" hidden="1">{#N/A,#N/A,FALSE,"Full";#N/A,#N/A,FALSE,"Half";#N/A,#N/A,FALSE,"Op Expenses";#N/A,#N/A,FALSE,"Cap Charge";#N/A,#N/A,FALSE,"Cost C";#N/A,#N/A,FALSE,"PP&amp;E";#N/A,#N/A,FALSE,"R&amp;D"}</definedName>
    <definedName name="__New18" hidden="1">{#N/A,#N/A,FALSE,"Full";#N/A,#N/A,FALSE,"Half";#N/A,#N/A,FALSE,"Op Expenses";#N/A,#N/A,FALSE,"Cap Charge";#N/A,#N/A,FALSE,"Cost C";#N/A,#N/A,FALSE,"PP&amp;E";#N/A,#N/A,FALSE,"R&amp;D"}</definedName>
    <definedName name="__New19" localSheetId="10" hidden="1">{"EVA",#N/A,FALSE,"SMT2";#N/A,#N/A,FALSE,"Summary";#N/A,#N/A,FALSE,"Graphs";#N/A,#N/A,FALSE,"4 Panel"}</definedName>
    <definedName name="__New19" hidden="1">{"EVA",#N/A,FALSE,"SMT2";#N/A,#N/A,FALSE,"Summary";#N/A,#N/A,FALSE,"Graphs";#N/A,#N/A,FALSE,"4 Panel"}</definedName>
    <definedName name="__New20" localSheetId="10" hidden="1">{#N/A,#N/A,FALSE,"SMT1";#N/A,#N/A,FALSE,"SMT2";#N/A,#N/A,FALSE,"Summary";#N/A,#N/A,FALSE,"Graphs";#N/A,#N/A,FALSE,"4 Panel"}</definedName>
    <definedName name="__New20" hidden="1">{#N/A,#N/A,FALSE,"SMT1";#N/A,#N/A,FALSE,"SMT2";#N/A,#N/A,FALSE,"Summary";#N/A,#N/A,FALSE,"Graphs";#N/A,#N/A,FALSE,"4 Panel"}</definedName>
    <definedName name="__New21" localSheetId="10" hidden="1">{#N/A,#N/A,FALSE,"Full";#N/A,#N/A,FALSE,"Half";#N/A,#N/A,FALSE,"Op Expenses";#N/A,#N/A,FALSE,"Cap Charge";#N/A,#N/A,FALSE,"Cost C";#N/A,#N/A,FALSE,"PP&amp;E";#N/A,#N/A,FALSE,"R&amp;D"}</definedName>
    <definedName name="__New21" hidden="1">{#N/A,#N/A,FALSE,"Full";#N/A,#N/A,FALSE,"Half";#N/A,#N/A,FALSE,"Op Expenses";#N/A,#N/A,FALSE,"Cap Charge";#N/A,#N/A,FALSE,"Cost C";#N/A,#N/A,FALSE,"PP&amp;E";#N/A,#N/A,FALSE,"R&amp;D"}</definedName>
    <definedName name="__NEW3" localSheetId="10" hidden="1">{#N/A,#N/A,FALSE,"SMT1";#N/A,#N/A,FALSE,"SMT2";#N/A,#N/A,FALSE,"Summary";#N/A,#N/A,FALSE,"Graphs";#N/A,#N/A,FALSE,"4 Panel"}</definedName>
    <definedName name="__NEW3" hidden="1">{#N/A,#N/A,FALSE,"SMT1";#N/A,#N/A,FALSE,"SMT2";#N/A,#N/A,FALSE,"Summary";#N/A,#N/A,FALSE,"Graphs";#N/A,#N/A,FALSE,"4 Panel"}</definedName>
    <definedName name="__nEW30" localSheetId="10" hidden="1">{"EVA",#N/A,FALSE,"SMT2";#N/A,#N/A,FALSE,"Summary";#N/A,#N/A,FALSE,"Graphs";#N/A,#N/A,FALSE,"4 Panel"}</definedName>
    <definedName name="__nEW30" hidden="1">{"EVA",#N/A,FALSE,"SMT2";#N/A,#N/A,FALSE,"Summary";#N/A,#N/A,FALSE,"Graphs";#N/A,#N/A,FALSE,"4 Panel"}</definedName>
    <definedName name="__New31" localSheetId="10" hidden="1">{#N/A,#N/A,FALSE,"SMT1";#N/A,#N/A,FALSE,"SMT2";#N/A,#N/A,FALSE,"Summary";#N/A,#N/A,FALSE,"Graphs";#N/A,#N/A,FALSE,"4 Panel"}</definedName>
    <definedName name="__New31" hidden="1">{#N/A,#N/A,FALSE,"SMT1";#N/A,#N/A,FALSE,"SMT2";#N/A,#N/A,FALSE,"Summary";#N/A,#N/A,FALSE,"Graphs";#N/A,#N/A,FALSE,"4 Panel"}</definedName>
    <definedName name="__New32" localSheetId="10" hidden="1">{#N/A,#N/A,FALSE,"SMT1";#N/A,#N/A,FALSE,"SMT2";#N/A,#N/A,FALSE,"Summary";#N/A,#N/A,FALSE,"Graphs";#N/A,#N/A,FALSE,"4 Panel"}</definedName>
    <definedName name="__New32" hidden="1">{#N/A,#N/A,FALSE,"SMT1";#N/A,#N/A,FALSE,"SMT2";#N/A,#N/A,FALSE,"Summary";#N/A,#N/A,FALSE,"Graphs";#N/A,#N/A,FALSE,"4 Panel"}</definedName>
    <definedName name="__New33" localSheetId="10" hidden="1">{#N/A,#N/A,FALSE,"Full";#N/A,#N/A,FALSE,"Half";#N/A,#N/A,FALSE,"Op Expenses";#N/A,#N/A,FALSE,"Cap Charge";#N/A,#N/A,FALSE,"Cost C";#N/A,#N/A,FALSE,"PP&amp;E";#N/A,#N/A,FALSE,"R&amp;D"}</definedName>
    <definedName name="__New33" hidden="1">{#N/A,#N/A,FALSE,"Full";#N/A,#N/A,FALSE,"Half";#N/A,#N/A,FALSE,"Op Expenses";#N/A,#N/A,FALSE,"Cap Charge";#N/A,#N/A,FALSE,"Cost C";#N/A,#N/A,FALSE,"PP&amp;E";#N/A,#N/A,FALSE,"R&amp;D"}</definedName>
    <definedName name="__New34" localSheetId="10" hidden="1">{"EVA",#N/A,FALSE,"SMT2";#N/A,#N/A,FALSE,"Summary";#N/A,#N/A,FALSE,"Graphs";#N/A,#N/A,FALSE,"4 Panel"}</definedName>
    <definedName name="__New34" hidden="1">{"EVA",#N/A,FALSE,"SMT2";#N/A,#N/A,FALSE,"Summary";#N/A,#N/A,FALSE,"Graphs";#N/A,#N/A,FALSE,"4 Panel"}</definedName>
    <definedName name="__New35" localSheetId="10" hidden="1">{#N/A,#N/A,FALSE,"SMT1";#N/A,#N/A,FALSE,"SMT2";#N/A,#N/A,FALSE,"Summary";#N/A,#N/A,FALSE,"Graphs";#N/A,#N/A,FALSE,"4 Panel"}</definedName>
    <definedName name="__New35" hidden="1">{#N/A,#N/A,FALSE,"SMT1";#N/A,#N/A,FALSE,"SMT2";#N/A,#N/A,FALSE,"Summary";#N/A,#N/A,FALSE,"Graphs";#N/A,#N/A,FALSE,"4 Panel"}</definedName>
    <definedName name="__New36" localSheetId="10" hidden="1">{#N/A,#N/A,FALSE,"Full";#N/A,#N/A,FALSE,"Half";#N/A,#N/A,FALSE,"Op Expenses";#N/A,#N/A,FALSE,"Cap Charge";#N/A,#N/A,FALSE,"Cost C";#N/A,#N/A,FALSE,"PP&amp;E";#N/A,#N/A,FALSE,"R&amp;D"}</definedName>
    <definedName name="__New36" hidden="1">{#N/A,#N/A,FALSE,"Full";#N/A,#N/A,FALSE,"Half";#N/A,#N/A,FALSE,"Op Expenses";#N/A,#N/A,FALSE,"Cap Charge";#N/A,#N/A,FALSE,"Cost C";#N/A,#N/A,FALSE,"PP&amp;E";#N/A,#N/A,FALSE,"R&amp;D"}</definedName>
    <definedName name="__NEW4" localSheetId="10" hidden="1">{#N/A,#N/A,FALSE,"Full";#N/A,#N/A,FALSE,"Half";#N/A,#N/A,FALSE,"Op Expenses";#N/A,#N/A,FALSE,"Cap Charge";#N/A,#N/A,FALSE,"Cost C";#N/A,#N/A,FALSE,"PP&amp;E";#N/A,#N/A,FALSE,"R&amp;D"}</definedName>
    <definedName name="__NEW4" hidden="1">{#N/A,#N/A,FALSE,"Full";#N/A,#N/A,FALSE,"Half";#N/A,#N/A,FALSE,"Op Expenses";#N/A,#N/A,FALSE,"Cap Charge";#N/A,#N/A,FALSE,"Cost C";#N/A,#N/A,FALSE,"PP&amp;E";#N/A,#N/A,FALSE,"R&amp;D"}</definedName>
    <definedName name="__OCT2" localSheetId="9" hidden="1">{#N/A,#N/A,FALSE,"BL&amp;GPA";#N/A,#N/A,FALSE,"Summary";#N/A,#N/A,FALSE,"hts"}</definedName>
    <definedName name="__OCT2" localSheetId="10" hidden="1">{#N/A,#N/A,FALSE,"BL&amp;GPA";#N/A,#N/A,FALSE,"Summary";#N/A,#N/A,FALSE,"hts"}</definedName>
    <definedName name="__OCT2" hidden="1">{#N/A,#N/A,FALSE,"BL&amp;GPA";#N/A,#N/A,FALSE,"Summary";#N/A,#N/A,FALSE,"hts"}</definedName>
    <definedName name="__ok1" localSheetId="9" hidden="1">{#N/A,#N/A,FALSE,"balance";#N/A,#N/A,FALSE,"PYG"}</definedName>
    <definedName name="__ok1" localSheetId="10" hidden="1">{#N/A,#N/A,FALSE,"balance";#N/A,#N/A,FALSE,"PYG"}</definedName>
    <definedName name="__ok1" hidden="1">{#N/A,#N/A,FALSE,"balance";#N/A,#N/A,FALSE,"PYG"}</definedName>
    <definedName name="__Ok2" localSheetId="9" hidden="1">{#N/A,#N/A,FALSE,"balance";#N/A,#N/A,FALSE,"PYG"}</definedName>
    <definedName name="__Ok2" localSheetId="10" hidden="1">{#N/A,#N/A,FALSE,"balance";#N/A,#N/A,FALSE,"PYG"}</definedName>
    <definedName name="__Ok2" hidden="1">{#N/A,#N/A,FALSE,"balance";#N/A,#N/A,FALSE,"PYG"}</definedName>
    <definedName name="__PyG2" localSheetId="9" hidden="1">{#N/A,#N/A,FALSE,"balance";#N/A,#N/A,FALSE,"PYG"}</definedName>
    <definedName name="__PyG2" localSheetId="10" hidden="1">{#N/A,#N/A,FALSE,"balance";#N/A,#N/A,FALSE,"PYG"}</definedName>
    <definedName name="__PyG2" hidden="1">{#N/A,#N/A,FALSE,"balance";#N/A,#N/A,FALSE,"PYG"}</definedName>
    <definedName name="__PYG3" localSheetId="9" hidden="1">{#N/A,#N/A,FALSE,"balance";#N/A,#N/A,FALSE,"PYG"}</definedName>
    <definedName name="__PYG3" localSheetId="10" hidden="1">{#N/A,#N/A,FALSE,"balance";#N/A,#N/A,FALSE,"PYG"}</definedName>
    <definedName name="__PYG3" hidden="1">{#N/A,#N/A,FALSE,"balance";#N/A,#N/A,FALSE,"PYG"}</definedName>
    <definedName name="__PyG33" localSheetId="9" hidden="1">{#N/A,#N/A,FALSE,"balance";#N/A,#N/A,FALSE,"PYG"}</definedName>
    <definedName name="__PyG33" localSheetId="10" hidden="1">{#N/A,#N/A,FALSE,"balance";#N/A,#N/A,FALSE,"PYG"}</definedName>
    <definedName name="__PyG33" hidden="1">{#N/A,#N/A,FALSE,"balance";#N/A,#N/A,FALSE,"PYG"}</definedName>
    <definedName name="__R" localSheetId="10" hidden="1">{#N/A,#N/A,FALSE,"GRAFICO";#N/A,#N/A,FALSE,"CAJA (2)";#N/A,#N/A,FALSE,"TERCEROS-PROMEDIO";#N/A,#N/A,FALSE,"CAJA";#N/A,#N/A,FALSE,"INGRESOS1995-2003";#N/A,#N/A,FALSE,"GASTOS1995-2003"}</definedName>
    <definedName name="__R" hidden="1">{#N/A,#N/A,FALSE,"GRAFICO";#N/A,#N/A,FALSE,"CAJA (2)";#N/A,#N/A,FALSE,"TERCEROS-PROMEDIO";#N/A,#N/A,FALSE,"CAJA";#N/A,#N/A,FALSE,"INGRESOS1995-2003";#N/A,#N/A,FALSE,"GASTOS1995-2003"}</definedName>
    <definedName name="_2_0RA">[3]Hoja1!#REF!</definedName>
    <definedName name="_f" localSheetId="10" hidden="1">{#N/A,#N/A,FALSE,"GRAFICO";#N/A,#N/A,FALSE,"CAJA (2)";#N/A,#N/A,FALSE,"TERCEROS-PROMEDIO";#N/A,#N/A,FALSE,"CAJA";#N/A,#N/A,FALSE,"INGRESOS1995-2003";#N/A,#N/A,FALSE,"GASTOS1995-2003"}</definedName>
    <definedName name="_f" hidden="1">{#N/A,#N/A,FALSE,"GRAFICO";#N/A,#N/A,FALSE,"CAJA (2)";#N/A,#N/A,FALSE,"TERCEROS-PROMEDIO";#N/A,#N/A,FALSE,"CAJA";#N/A,#N/A,FALSE,"INGRESOS1995-2003";#N/A,#N/A,FALSE,"GASTOS1995-2003"}</definedName>
    <definedName name="_Fill" localSheetId="9" hidden="1">#REF!</definedName>
    <definedName name="_Fill" localSheetId="10" hidden="1">#REF!</definedName>
    <definedName name="_Fill" hidden="1">#REF!</definedName>
    <definedName name="_xlnm._FilterDatabase" localSheetId="7" hidden="1">'DES activos'!$A$6:$K$40</definedName>
    <definedName name="_xlnm._FilterDatabase" localSheetId="10" hidden="1">'DES Ing. OR'!$B$4:$Q$4</definedName>
    <definedName name="_Key1" localSheetId="9" hidden="1">[4]INVERGPO!$AF$24:$AF$103</definedName>
    <definedName name="_Key1" hidden="1">[5]INVERGPO!$AF$24:$AF$103</definedName>
    <definedName name="_Key2" localSheetId="9" hidden="1">[4]INVERGPO!$AF$7:$AF$11</definedName>
    <definedName name="_Key2" hidden="1">[5]INVERGPO!$AF$7:$AF$11</definedName>
    <definedName name="_Key54" localSheetId="9" hidden="1">[4]INVERGPO!$AF$24:$AF$103</definedName>
    <definedName name="_Key54" hidden="1">[5]INVERGPO!$AF$24:$AF$103</definedName>
    <definedName name="_Key55" localSheetId="9" hidden="1">[4]INVERGPO!$AF$7:$AF$11</definedName>
    <definedName name="_Key55" hidden="1">[5]INVERGPO!$AF$7:$AF$11</definedName>
    <definedName name="_new1" localSheetId="10" hidden="1">{#N/A,#N/A,FALSE,"SMT1";#N/A,#N/A,FALSE,"SMT2";#N/A,#N/A,FALSE,"Summary";#N/A,#N/A,FALSE,"Graphs";#N/A,#N/A,FALSE,"4 Panel"}</definedName>
    <definedName name="_new1" hidden="1">{#N/A,#N/A,FALSE,"SMT1";#N/A,#N/A,FALSE,"SMT2";#N/A,#N/A,FALSE,"Summary";#N/A,#N/A,FALSE,"Graphs";#N/A,#N/A,FALSE,"4 Panel"}</definedName>
    <definedName name="_New15" localSheetId="10" hidden="1">{"EVA",#N/A,FALSE,"SMT2";#N/A,#N/A,FALSE,"Summary";#N/A,#N/A,FALSE,"Graphs";#N/A,#N/A,FALSE,"4 Panel"}</definedName>
    <definedName name="_New15" hidden="1">{"EVA",#N/A,FALSE,"SMT2";#N/A,#N/A,FALSE,"Summary";#N/A,#N/A,FALSE,"Graphs";#N/A,#N/A,FALSE,"4 Panel"}</definedName>
    <definedName name="_New16" localSheetId="10" hidden="1">{#N/A,#N/A,FALSE,"SMT1";#N/A,#N/A,FALSE,"SMT2";#N/A,#N/A,FALSE,"Summary";#N/A,#N/A,FALSE,"Graphs";#N/A,#N/A,FALSE,"4 Panel"}</definedName>
    <definedName name="_New16" hidden="1">{#N/A,#N/A,FALSE,"SMT1";#N/A,#N/A,FALSE,"SMT2";#N/A,#N/A,FALSE,"Summary";#N/A,#N/A,FALSE,"Graphs";#N/A,#N/A,FALSE,"4 Panel"}</definedName>
    <definedName name="_New17" localSheetId="10" hidden="1">{#N/A,#N/A,FALSE,"SMT1";#N/A,#N/A,FALSE,"SMT2";#N/A,#N/A,FALSE,"Summary";#N/A,#N/A,FALSE,"Graphs";#N/A,#N/A,FALSE,"4 Panel"}</definedName>
    <definedName name="_New17" hidden="1">{#N/A,#N/A,FALSE,"SMT1";#N/A,#N/A,FALSE,"SMT2";#N/A,#N/A,FALSE,"Summary";#N/A,#N/A,FALSE,"Graphs";#N/A,#N/A,FALSE,"4 Panel"}</definedName>
    <definedName name="_New18" localSheetId="10" hidden="1">{#N/A,#N/A,FALSE,"Full";#N/A,#N/A,FALSE,"Half";#N/A,#N/A,FALSE,"Op Expenses";#N/A,#N/A,FALSE,"Cap Charge";#N/A,#N/A,FALSE,"Cost C";#N/A,#N/A,FALSE,"PP&amp;E";#N/A,#N/A,FALSE,"R&amp;D"}</definedName>
    <definedName name="_New18" hidden="1">{#N/A,#N/A,FALSE,"Full";#N/A,#N/A,FALSE,"Half";#N/A,#N/A,FALSE,"Op Expenses";#N/A,#N/A,FALSE,"Cap Charge";#N/A,#N/A,FALSE,"Cost C";#N/A,#N/A,FALSE,"PP&amp;E";#N/A,#N/A,FALSE,"R&amp;D"}</definedName>
    <definedName name="_New19" localSheetId="10" hidden="1">{"EVA",#N/A,FALSE,"SMT2";#N/A,#N/A,FALSE,"Summary";#N/A,#N/A,FALSE,"Graphs";#N/A,#N/A,FALSE,"4 Panel"}</definedName>
    <definedName name="_New19" hidden="1">{"EVA",#N/A,FALSE,"SMT2";#N/A,#N/A,FALSE,"Summary";#N/A,#N/A,FALSE,"Graphs";#N/A,#N/A,FALSE,"4 Panel"}</definedName>
    <definedName name="_New20" localSheetId="10" hidden="1">{#N/A,#N/A,FALSE,"SMT1";#N/A,#N/A,FALSE,"SMT2";#N/A,#N/A,FALSE,"Summary";#N/A,#N/A,FALSE,"Graphs";#N/A,#N/A,FALSE,"4 Panel"}</definedName>
    <definedName name="_New20" hidden="1">{#N/A,#N/A,FALSE,"SMT1";#N/A,#N/A,FALSE,"SMT2";#N/A,#N/A,FALSE,"Summary";#N/A,#N/A,FALSE,"Graphs";#N/A,#N/A,FALSE,"4 Panel"}</definedName>
    <definedName name="_New21" localSheetId="10" hidden="1">{#N/A,#N/A,FALSE,"Full";#N/A,#N/A,FALSE,"Half";#N/A,#N/A,FALSE,"Op Expenses";#N/A,#N/A,FALSE,"Cap Charge";#N/A,#N/A,FALSE,"Cost C";#N/A,#N/A,FALSE,"PP&amp;E";#N/A,#N/A,FALSE,"R&amp;D"}</definedName>
    <definedName name="_New21" hidden="1">{#N/A,#N/A,FALSE,"Full";#N/A,#N/A,FALSE,"Half";#N/A,#N/A,FALSE,"Op Expenses";#N/A,#N/A,FALSE,"Cap Charge";#N/A,#N/A,FALSE,"Cost C";#N/A,#N/A,FALSE,"PP&amp;E";#N/A,#N/A,FALSE,"R&amp;D"}</definedName>
    <definedName name="_NEW3" localSheetId="10" hidden="1">{#N/A,#N/A,FALSE,"SMT1";#N/A,#N/A,FALSE,"SMT2";#N/A,#N/A,FALSE,"Summary";#N/A,#N/A,FALSE,"Graphs";#N/A,#N/A,FALSE,"4 Panel"}</definedName>
    <definedName name="_NEW3" hidden="1">{#N/A,#N/A,FALSE,"SMT1";#N/A,#N/A,FALSE,"SMT2";#N/A,#N/A,FALSE,"Summary";#N/A,#N/A,FALSE,"Graphs";#N/A,#N/A,FALSE,"4 Panel"}</definedName>
    <definedName name="_nEW30" localSheetId="10" hidden="1">{"EVA",#N/A,FALSE,"SMT2";#N/A,#N/A,FALSE,"Summary";#N/A,#N/A,FALSE,"Graphs";#N/A,#N/A,FALSE,"4 Panel"}</definedName>
    <definedName name="_nEW30" hidden="1">{"EVA",#N/A,FALSE,"SMT2";#N/A,#N/A,FALSE,"Summary";#N/A,#N/A,FALSE,"Graphs";#N/A,#N/A,FALSE,"4 Panel"}</definedName>
    <definedName name="_New31" localSheetId="10" hidden="1">{#N/A,#N/A,FALSE,"SMT1";#N/A,#N/A,FALSE,"SMT2";#N/A,#N/A,FALSE,"Summary";#N/A,#N/A,FALSE,"Graphs";#N/A,#N/A,FALSE,"4 Panel"}</definedName>
    <definedName name="_New31" hidden="1">{#N/A,#N/A,FALSE,"SMT1";#N/A,#N/A,FALSE,"SMT2";#N/A,#N/A,FALSE,"Summary";#N/A,#N/A,FALSE,"Graphs";#N/A,#N/A,FALSE,"4 Panel"}</definedName>
    <definedName name="_New32" localSheetId="10" hidden="1">{#N/A,#N/A,FALSE,"SMT1";#N/A,#N/A,FALSE,"SMT2";#N/A,#N/A,FALSE,"Summary";#N/A,#N/A,FALSE,"Graphs";#N/A,#N/A,FALSE,"4 Panel"}</definedName>
    <definedName name="_New32" hidden="1">{#N/A,#N/A,FALSE,"SMT1";#N/A,#N/A,FALSE,"SMT2";#N/A,#N/A,FALSE,"Summary";#N/A,#N/A,FALSE,"Graphs";#N/A,#N/A,FALSE,"4 Panel"}</definedName>
    <definedName name="_New33" localSheetId="10" hidden="1">{#N/A,#N/A,FALSE,"Full";#N/A,#N/A,FALSE,"Half";#N/A,#N/A,FALSE,"Op Expenses";#N/A,#N/A,FALSE,"Cap Charge";#N/A,#N/A,FALSE,"Cost C";#N/A,#N/A,FALSE,"PP&amp;E";#N/A,#N/A,FALSE,"R&amp;D"}</definedName>
    <definedName name="_New33" hidden="1">{#N/A,#N/A,FALSE,"Full";#N/A,#N/A,FALSE,"Half";#N/A,#N/A,FALSE,"Op Expenses";#N/A,#N/A,FALSE,"Cap Charge";#N/A,#N/A,FALSE,"Cost C";#N/A,#N/A,FALSE,"PP&amp;E";#N/A,#N/A,FALSE,"R&amp;D"}</definedName>
    <definedName name="_New34" localSheetId="10" hidden="1">{"EVA",#N/A,FALSE,"SMT2";#N/A,#N/A,FALSE,"Summary";#N/A,#N/A,FALSE,"Graphs";#N/A,#N/A,FALSE,"4 Panel"}</definedName>
    <definedName name="_New34" hidden="1">{"EVA",#N/A,FALSE,"SMT2";#N/A,#N/A,FALSE,"Summary";#N/A,#N/A,FALSE,"Graphs";#N/A,#N/A,FALSE,"4 Panel"}</definedName>
    <definedName name="_New35" localSheetId="10" hidden="1">{#N/A,#N/A,FALSE,"SMT1";#N/A,#N/A,FALSE,"SMT2";#N/A,#N/A,FALSE,"Summary";#N/A,#N/A,FALSE,"Graphs";#N/A,#N/A,FALSE,"4 Panel"}</definedName>
    <definedName name="_New35" hidden="1">{#N/A,#N/A,FALSE,"SMT1";#N/A,#N/A,FALSE,"SMT2";#N/A,#N/A,FALSE,"Summary";#N/A,#N/A,FALSE,"Graphs";#N/A,#N/A,FALSE,"4 Panel"}</definedName>
    <definedName name="_New36" localSheetId="10" hidden="1">{#N/A,#N/A,FALSE,"Full";#N/A,#N/A,FALSE,"Half";#N/A,#N/A,FALSE,"Op Expenses";#N/A,#N/A,FALSE,"Cap Charge";#N/A,#N/A,FALSE,"Cost C";#N/A,#N/A,FALSE,"PP&amp;E";#N/A,#N/A,FALSE,"R&amp;D"}</definedName>
    <definedName name="_New36" hidden="1">{#N/A,#N/A,FALSE,"Full";#N/A,#N/A,FALSE,"Half";#N/A,#N/A,FALSE,"Op Expenses";#N/A,#N/A,FALSE,"Cap Charge";#N/A,#N/A,FALSE,"Cost C";#N/A,#N/A,FALSE,"PP&amp;E";#N/A,#N/A,FALSE,"R&amp;D"}</definedName>
    <definedName name="_NEW4" localSheetId="10" hidden="1">{#N/A,#N/A,FALSE,"Full";#N/A,#N/A,FALSE,"Half";#N/A,#N/A,FALSE,"Op Expenses";#N/A,#N/A,FALSE,"Cap Charge";#N/A,#N/A,FALSE,"Cost C";#N/A,#N/A,FALSE,"PP&amp;E";#N/A,#N/A,FALSE,"R&amp;D"}</definedName>
    <definedName name="_NEW4" hidden="1">{#N/A,#N/A,FALSE,"Full";#N/A,#N/A,FALSE,"Half";#N/A,#N/A,FALSE,"Op Expenses";#N/A,#N/A,FALSE,"Cap Charge";#N/A,#N/A,FALSE,"Cost C";#N/A,#N/A,FALSE,"PP&amp;E";#N/A,#N/A,FALSE,"R&amp;D"}</definedName>
    <definedName name="_Orden" localSheetId="9" hidden="1">[4]INVERGPO!$B$24:$AF$103</definedName>
    <definedName name="_Orden" hidden="1">[5]INVERGPO!$B$24:$AF$103</definedName>
    <definedName name="_Order1" hidden="1">0</definedName>
    <definedName name="_Order2" hidden="1">0</definedName>
    <definedName name="_Parse_In" localSheetId="9" hidden="1">#REF!</definedName>
    <definedName name="_Parse_In" localSheetId="10" hidden="1">[6]BOGOTA!#REF!</definedName>
    <definedName name="_Parse_In" hidden="1">[6]BOGOTA!#REF!</definedName>
    <definedName name="_R" localSheetId="10" hidden="1">{#N/A,#N/A,FALSE,"GRAFICO";#N/A,#N/A,FALSE,"CAJA (2)";#N/A,#N/A,FALSE,"TERCEROS-PROMEDIO";#N/A,#N/A,FALSE,"CAJA";#N/A,#N/A,FALSE,"INGRESOS1995-2003";#N/A,#N/A,FALSE,"GASTOS1995-2003"}</definedName>
    <definedName name="_R" hidden="1">{#N/A,#N/A,FALSE,"GRAFICO";#N/A,#N/A,FALSE,"CAJA (2)";#N/A,#N/A,FALSE,"TERCEROS-PROMEDIO";#N/A,#N/A,FALSE,"CAJA";#N/A,#N/A,FALSE,"INGRESOS1995-2003";#N/A,#N/A,FALSE,"GASTOS1995-2003"}</definedName>
    <definedName name="_Regression_Int" hidden="1">1</definedName>
    <definedName name="_Regression_Out" localSheetId="9" hidden="1">#REF!</definedName>
    <definedName name="_Regression_Out" localSheetId="10" hidden="1">#REF!</definedName>
    <definedName name="_Regression_Out" hidden="1">#REF!</definedName>
    <definedName name="_Regression_X" localSheetId="9" hidden="1">#REF!</definedName>
    <definedName name="_Regression_X" localSheetId="10" hidden="1">#REF!</definedName>
    <definedName name="_Regression_X" hidden="1">#REF!</definedName>
    <definedName name="_Regression_Y" localSheetId="9" hidden="1">#REF!</definedName>
    <definedName name="_Regression_Y" localSheetId="10" hidden="1">#REF!</definedName>
    <definedName name="_Regression_Y" hidden="1">#REF!</definedName>
    <definedName name="_Sort" localSheetId="9" hidden="1">[7]SINTESIS!$M$7:$Q$20</definedName>
    <definedName name="_Sort" hidden="1">[5]INVERGPO!$B$24:$AF$103</definedName>
    <definedName name="_Table2_Out" localSheetId="9" hidden="1">#REF!</definedName>
    <definedName name="_Table2_Out" localSheetId="10" hidden="1">#REF!</definedName>
    <definedName name="_Table2_Out" hidden="1">#REF!</definedName>
    <definedName name="a" localSheetId="9" hidden="1">{#N/A,#N/A,FALSE,"balance";#N/A,#N/A,FALSE,"PYG"}</definedName>
    <definedName name="a" localSheetId="10" hidden="1">{#N/A,#N/A,FALSE,"balance";#N/A,#N/A,FALSE,"PYG"}</definedName>
    <definedName name="a" hidden="1">{#N/A,#N/A,FALSE,"balance";#N/A,#N/A,FALSE,"PYG"}</definedName>
    <definedName name="A_impresión_IM">'[8]ACCION POR GRU AL 23 DE JULIO'!$C$2:$E$55</definedName>
    <definedName name="AAA" localSheetId="9" hidden="1">{#N/A,#N/A,FALSE,"balance";#N/A,#N/A,FALSE,"PYG"}</definedName>
    <definedName name="AAA" localSheetId="10" hidden="1">{#N/A,#N/A,FALSE,"balance";#N/A,#N/A,FALSE,"PYG"}</definedName>
    <definedName name="AAA" hidden="1">{#N/A,#N/A,FALSE,"balance";#N/A,#N/A,FALSE,"PYG"}</definedName>
    <definedName name="AAAA" localSheetId="10" hidden="1">{#N/A,#N/A,FALSE,"Aging Summary";#N/A,#N/A,FALSE,"Ratio Analysis";#N/A,#N/A,FALSE,"Test 120 Day Accts";#N/A,#N/A,FALSE,"Tickmarks"}</definedName>
    <definedName name="AAAA" hidden="1">{#N/A,#N/A,FALSE,"Aging Summary";#N/A,#N/A,FALSE,"Ratio Analysis";#N/A,#N/A,FALSE,"Test 120 Day Accts";#N/A,#N/A,FALSE,"Tickmarks"}</definedName>
    <definedName name="AAAAA" localSheetId="9" hidden="1">{#N/A,#N/A,FALSE,"balance";#N/A,#N/A,FALSE,"PYG"}</definedName>
    <definedName name="AAAAA" localSheetId="10" hidden="1">{#N/A,#N/A,FALSE,"balance";#N/A,#N/A,FALSE,"PYG"}</definedName>
    <definedName name="AAAAA" hidden="1">{#N/A,#N/A,FALSE,"balance";#N/A,#N/A,FALSE,"PYG"}</definedName>
    <definedName name="Abr" localSheetId="9" hidden="1">{#N/A,#N/A,FALSE,"GP";#N/A,#N/A,FALSE,"Summary"}</definedName>
    <definedName name="Abr" localSheetId="10" hidden="1">{#N/A,#N/A,FALSE,"GP";#N/A,#N/A,FALSE,"Summary"}</definedName>
    <definedName name="Abr" hidden="1">{#N/A,#N/A,FALSE,"GP";#N/A,#N/A,FALSE,"Summary"}</definedName>
    <definedName name="ABRIL" localSheetId="9" hidden="1">{#N/A,#N/A,FALSE,"GP";#N/A,#N/A,FALSE,"Summary"}</definedName>
    <definedName name="ABRIL" localSheetId="10" hidden="1">{#N/A,#N/A,FALSE,"GP";#N/A,#N/A,FALSE,"Summary"}</definedName>
    <definedName name="ABRIL" hidden="1">{#N/A,#N/A,FALSE,"GP";#N/A,#N/A,FALSE,"Summary"}</definedName>
    <definedName name="Abril2" localSheetId="9" hidden="1">{#N/A,#N/A,FALSE,"GP";#N/A,#N/A,FALSE,"Summary"}</definedName>
    <definedName name="Abril2" localSheetId="10" hidden="1">{#N/A,#N/A,FALSE,"GP";#N/A,#N/A,FALSE,"Summary"}</definedName>
    <definedName name="Abril2" hidden="1">{#N/A,#N/A,FALSE,"GP";#N/A,#N/A,FALSE,"Summary"}</definedName>
    <definedName name="AccessDatabase" hidden="1">"F:\AndersonLegal\Modificado\ANEXOC2000 PARA SOCIEDADES.mdb"</definedName>
    <definedName name="adfadsfsa" localSheetId="10" hidden="1">{#N/A,#N/A,FALSE,"GRAFICO";#N/A,#N/A,FALSE,"CAJA (2)";#N/A,#N/A,FALSE,"TERCEROS-PROMEDIO";#N/A,#N/A,FALSE,"CAJA";#N/A,#N/A,FALSE,"INGRESOS1995-2003";#N/A,#N/A,FALSE,"GASTOS1995-2003"}</definedName>
    <definedName name="adfadsfsa" hidden="1">{#N/A,#N/A,FALSE,"GRAFICO";#N/A,#N/A,FALSE,"CAJA (2)";#N/A,#N/A,FALSE,"TERCEROS-PROMEDIO";#N/A,#N/A,FALSE,"CAJA";#N/A,#N/A,FALSE,"INGRESOS1995-2003";#N/A,#N/A,FALSE,"GASTOS1995-2003"}</definedName>
    <definedName name="AGLO" localSheetId="10" hidden="1">{#N/A,#N/A,FALSE,"Aging Summary";#N/A,#N/A,FALSE,"Ratio Analysis";#N/A,#N/A,FALSE,"Test 120 Day Accts";#N/A,#N/A,FALSE,"Tickmarks"}</definedName>
    <definedName name="AGLO" hidden="1">{#N/A,#N/A,FALSE,"Aging Summary";#N/A,#N/A,FALSE,"Ratio Analysis";#N/A,#N/A,FALSE,"Test 120 Day Accts";#N/A,#N/A,FALSE,"Tickmarks"}</definedName>
    <definedName name="AKO" localSheetId="10" hidden="1">{#N/A,#N/A,FALSE,"SMT1";#N/A,#N/A,FALSE,"SMT2";#N/A,#N/A,FALSE,"Summary";#N/A,#N/A,FALSE,"Graphs";#N/A,#N/A,FALSE,"4 Panel"}</definedName>
    <definedName name="AKO" hidden="1">{#N/A,#N/A,FALSE,"SMT1";#N/A,#N/A,FALSE,"SMT2";#N/A,#N/A,FALSE,"Summary";#N/A,#N/A,FALSE,"Graphs";#N/A,#N/A,FALSE,"4 Panel"}</definedName>
    <definedName name="ALEJO" localSheetId="10" hidden="1">{#N/A,#N/A,FALSE,"Aging Summary";#N/A,#N/A,FALSE,"Ratio Analysis";#N/A,#N/A,FALSE,"Test 120 Day Accts";#N/A,#N/A,FALSE,"Tickmarks"}</definedName>
    <definedName name="ALEJO" hidden="1">{#N/A,#N/A,FALSE,"Aging Summary";#N/A,#N/A,FALSE,"Ratio Analysis";#N/A,#N/A,FALSE,"Test 120 Day Accts";#N/A,#N/A,FALSE,"Tickmarks"}</definedName>
    <definedName name="alfayomega" localSheetId="10" hidden="1">{#N/A,#N/A,FALSE,"Aging Summary";#N/A,#N/A,FALSE,"Ratio Analysis";#N/A,#N/A,FALSE,"Test 120 Day Accts";#N/A,#N/A,FALSE,"Tickmarks"}</definedName>
    <definedName name="alfayomega" hidden="1">{#N/A,#N/A,FALSE,"Aging Summary";#N/A,#N/A,FALSE,"Ratio Analysis";#N/A,#N/A,FALSE,"Test 120 Day Accts";#N/A,#N/A,FALSE,"Tickmarks"}</definedName>
    <definedName name="anex" localSheetId="9" hidden="1">{#N/A,#N/A,FALSE,"balance";#N/A,#N/A,FALSE,"PYG"}</definedName>
    <definedName name="anex" localSheetId="10" hidden="1">{#N/A,#N/A,FALSE,"balance";#N/A,#N/A,FALSE,"PYG"}</definedName>
    <definedName name="anex" hidden="1">{#N/A,#N/A,FALSE,"balance";#N/A,#N/A,FALSE,"PYG"}</definedName>
    <definedName name="Anexo" localSheetId="9" hidden="1">{#N/A,#N/A,FALSE,"balance";#N/A,#N/A,FALSE,"PYG"}</definedName>
    <definedName name="Anexo" localSheetId="10" hidden="1">{#N/A,#N/A,FALSE,"balance";#N/A,#N/A,FALSE,"PYG"}</definedName>
    <definedName name="Anexo" hidden="1">{#N/A,#N/A,FALSE,"balance";#N/A,#N/A,FALSE,"PYG"}</definedName>
    <definedName name="Anexo19" localSheetId="9" hidden="1">{#N/A,#N/A,FALSE,"balance";#N/A,#N/A,FALSE,"PYG"}</definedName>
    <definedName name="Anexo19" localSheetId="10" hidden="1">{#N/A,#N/A,FALSE,"balance";#N/A,#N/A,FALSE,"PYG"}</definedName>
    <definedName name="Anexo19" hidden="1">{#N/A,#N/A,FALSE,"balance";#N/A,#N/A,FALSE,"PYG"}</definedName>
    <definedName name="ANEXO9" localSheetId="9" hidden="1">{#N/A,#N/A,FALSE,"balance";#N/A,#N/A,FALSE,"PYG"}</definedName>
    <definedName name="ANEXO9" localSheetId="10" hidden="1">{#N/A,#N/A,FALSE,"balance";#N/A,#N/A,FALSE,"PYG"}</definedName>
    <definedName name="ANEXO9" hidden="1">{#N/A,#N/A,FALSE,"balance";#N/A,#N/A,FALSE,"PYG"}</definedName>
    <definedName name="ANGEL" localSheetId="10" hidden="1">{#N/A,#N/A,FALSE,"GRAFICO";#N/A,#N/A,FALSE,"CAJA (2)";#N/A,#N/A,FALSE,"TERCEROS-PROMEDIO";#N/A,#N/A,FALSE,"CAJA";#N/A,#N/A,FALSE,"INGRESOS1995-2003";#N/A,#N/A,FALSE,"GASTOS1995-2003"}</definedName>
    <definedName name="ANGEL" hidden="1">{#N/A,#N/A,FALSE,"GRAFICO";#N/A,#N/A,FALSE,"CAJA (2)";#N/A,#N/A,FALSE,"TERCEROS-PROMEDIO";#N/A,#N/A,FALSE,"CAJA";#N/A,#N/A,FALSE,"INGRESOS1995-2003";#N/A,#N/A,FALSE,"GASTOS1995-2003"}</definedName>
    <definedName name="anscount" hidden="1">1</definedName>
    <definedName name="ARRENDAM1" localSheetId="10" hidden="1">{#N/A,#N/A,FALSE,"Aging Summary";#N/A,#N/A,FALSE,"Ratio Analysis";#N/A,#N/A,FALSE,"Test 120 Day Accts";#N/A,#N/A,FALSE,"Tickmarks"}</definedName>
    <definedName name="ARRENDAM1" hidden="1">{#N/A,#N/A,FALSE,"Aging Summary";#N/A,#N/A,FALSE,"Ratio Analysis";#N/A,#N/A,FALSE,"Test 120 Day Accts";#N/A,#N/A,FALSE,"Tickmarks"}</definedName>
    <definedName name="ARRENDAMIENTO" localSheetId="10" hidden="1">{#N/A,#N/A,FALSE,"Aging Summary";#N/A,#N/A,FALSE,"Ratio Analysis";#N/A,#N/A,FALSE,"Test 120 Day Accts";#N/A,#N/A,FALSE,"Tickmarks"}</definedName>
    <definedName name="ARRENDAMIENTO" hidden="1">{#N/A,#N/A,FALSE,"Aging Summary";#N/A,#N/A,FALSE,"Ratio Analysis";#N/A,#N/A,FALSE,"Test 120 Day Accts";#N/A,#N/A,FALSE,"Tickmarks"}</definedName>
    <definedName name="ARRENDAMIENTOS" localSheetId="10" hidden="1">{#N/A,#N/A,FALSE,"Aging Summary";#N/A,#N/A,FALSE,"Ratio Analysis";#N/A,#N/A,FALSE,"Test 120 Day Accts";#N/A,#N/A,FALSE,"Tickmarks"}</definedName>
    <definedName name="ARRENDAMIENTOS" hidden="1">{#N/A,#N/A,FALSE,"Aging Summary";#N/A,#N/A,FALSE,"Ratio Analysis";#N/A,#N/A,FALSE,"Test 120 Day Accts";#N/A,#N/A,FALSE,"Tickmarks"}</definedName>
    <definedName name="AS2DocOpenMode" hidden="1">"AS2DocumentEdit"</definedName>
    <definedName name="AS2LinkLS" hidden="1">[9]Links!A1</definedName>
    <definedName name="AS2ReportLS" hidden="1">1</definedName>
    <definedName name="AS2StaticLS" hidden="1">[9]Lead!A1</definedName>
    <definedName name="AS2SyncStepLS" hidden="1">0</definedName>
    <definedName name="AS2TickmarkLS" hidden="1">#REF!</definedName>
    <definedName name="AS2VersionLS" hidden="1">300</definedName>
    <definedName name="asdf" localSheetId="9" hidden="1">{#N/A,#N/A,FALSE,"balance";#N/A,#N/A,FALSE,"PYG"}</definedName>
    <definedName name="asdf" localSheetId="10" hidden="1">{#N/A,#N/A,FALSE,"balance";#N/A,#N/A,FALSE,"PYG"}</definedName>
    <definedName name="asdf" hidden="1">{#N/A,#N/A,FALSE,"balance";#N/A,#N/A,FALSE,"PYG"}</definedName>
    <definedName name="b" localSheetId="9" hidden="1">{#N/A,#N/A,FALSE,"balance";#N/A,#N/A,FALSE,"PYG"}</definedName>
    <definedName name="b" localSheetId="10" hidden="1">{#N/A,#N/A,FALSE,"balance";#N/A,#N/A,FALSE,"PYG"}</definedName>
    <definedName name="b" hidden="1">{#N/A,#N/A,FALSE,"balance";#N/A,#N/A,FALSE,"PYG"}</definedName>
    <definedName name="BABAS" localSheetId="10" hidden="1">{#N/A,#N/A,FALSE,"Aging Summary";#N/A,#N/A,FALSE,"Ratio Analysis";#N/A,#N/A,FALSE,"Test 120 Day Accts";#N/A,#N/A,FALSE,"Tickmarks"}</definedName>
    <definedName name="BABAS" hidden="1">{#N/A,#N/A,FALSE,"Aging Summary";#N/A,#N/A,FALSE,"Ratio Analysis";#N/A,#N/A,FALSE,"Test 120 Day Accts";#N/A,#N/A,FALSE,"Tickmarks"}</definedName>
    <definedName name="_xlnm.Database">'[8]ACCION POR GRU AL 23 DE JULIO'!#REF!</definedName>
    <definedName name="bb" localSheetId="10" hidden="1">{"PYGS",#N/A,FALSE,"PYG";"ACTIS",#N/A,FALSE,"BCE_GRAL-ACTIVO";"PASIS",#N/A,FALSE,"BCE_GRAL-PASIVO-PATRIM";"CAJAS",#N/A,FALSE,"CAJA"}</definedName>
    <definedName name="bb" hidden="1">{"PYGS",#N/A,FALSE,"PYG";"ACTIS",#N/A,FALSE,"BCE_GRAL-ACTIVO";"PASIS",#N/A,FALSE,"BCE_GRAL-PASIVO-PATRIM";"CAJAS",#N/A,FALSE,"CAJA"}</definedName>
    <definedName name="BBB" hidden="1">0</definedName>
    <definedName name="BBBB" localSheetId="10" hidden="1">{"PYGT",#N/A,FALSE,"PYG";"ACTIT",#N/A,FALSE,"BCE_GRAL-ACTIVO";"PASIT",#N/A,FALSE,"BCE_GRAL-PASIVO-PATRIM";"CAJAT",#N/A,FALSE,"CAJA"}</definedName>
    <definedName name="BBBB" hidden="1">{"PYGT",#N/A,FALSE,"PYG";"ACTIT",#N/A,FALSE,"BCE_GRAL-ACTIVO";"PASIT",#N/A,FALSE,"BCE_GRAL-PASIVO-PATRIM";"CAJAT",#N/A,FALSE,"CAJA"}</definedName>
    <definedName name="BG_Del" hidden="1">15</definedName>
    <definedName name="BG_Ins" hidden="1">4</definedName>
    <definedName name="BG_Mod" hidden="1">6</definedName>
    <definedName name="cacao" localSheetId="10" hidden="1">{#N/A,#N/A,FALSE,"Aging Summary";#N/A,#N/A,FALSE,"Ratio Analysis";#N/A,#N/A,FALSE,"Test 120 Day Accts";#N/A,#N/A,FALSE,"Tickmarks"}</definedName>
    <definedName name="cacao" hidden="1">{#N/A,#N/A,FALSE,"Aging Summary";#N/A,#N/A,FALSE,"Ratio Analysis";#N/A,#N/A,FALSE,"Test 120 Day Accts";#N/A,#N/A,FALSE,"Tickmarks"}</definedName>
    <definedName name="CALDO" localSheetId="10" hidden="1">{"PYGT",#N/A,FALSE,"PYG";"ACTIT",#N/A,FALSE,"BCE_GRAL-ACTIVO";"PASIT",#N/A,FALSE,"BCE_GRAL-PASIVO-PATRIM";"CAJAT",#N/A,FALSE,"CAJA"}</definedName>
    <definedName name="CALDO" hidden="1">{"PYGT",#N/A,FALSE,"PYG";"ACTIT",#N/A,FALSE,"BCE_GRAL-ACTIVO";"PASIT",#N/A,FALSE,"BCE_GRAL-PASIVO-PATRIM";"CAJAT",#N/A,FALSE,"CAJA"}</definedName>
    <definedName name="CALEND" localSheetId="10" hidden="1">{"'18'!$A$5:$M$18"}</definedName>
    <definedName name="CALEND" hidden="1">{"'18'!$A$5:$M$18"}</definedName>
    <definedName name="CARLA" localSheetId="10" hidden="1">{#N/A,#N/A,FALSE,"GRAFICO";#N/A,#N/A,FALSE,"CAJA (2)";#N/A,#N/A,FALSE,"TERCEROS-PROMEDIO";#N/A,#N/A,FALSE,"CAJA";#N/A,#N/A,FALSE,"INGRESOS1995-2003";#N/A,#N/A,FALSE,"GASTOS1995-2003"}</definedName>
    <definedName name="CARLA" hidden="1">{#N/A,#N/A,FALSE,"GRAFICO";#N/A,#N/A,FALSE,"CAJA (2)";#N/A,#N/A,FALSE,"TERCEROS-PROMEDIO";#N/A,#N/A,FALSE,"CAJA";#N/A,#N/A,FALSE,"INGRESOS1995-2003";#N/A,#N/A,FALSE,"GASTOS1995-2003"}</definedName>
    <definedName name="CARLALUCIA" localSheetId="10" hidden="1">{#N/A,#N/A,FALSE,"Aging Summary";#N/A,#N/A,FALSE,"Ratio Analysis";#N/A,#N/A,FALSE,"Test 120 Day Accts";#N/A,#N/A,FALSE,"Tickmarks"}</definedName>
    <definedName name="CARLALUCIA" hidden="1">{#N/A,#N/A,FALSE,"Aging Summary";#N/A,#N/A,FALSE,"Ratio Analysis";#N/A,#N/A,FALSE,"Test 120 Day Accts";#N/A,#N/A,FALSE,"Tickmarks"}</definedName>
    <definedName name="CARLOS" localSheetId="10" hidden="1">{#N/A,#N/A,FALSE,"Aging Summary";#N/A,#N/A,FALSE,"Ratio Analysis";#N/A,#N/A,FALSE,"Test 120 Day Accts";#N/A,#N/A,FALSE,"Tickmarks"}</definedName>
    <definedName name="CARLOS" hidden="1">{#N/A,#N/A,FALSE,"Aging Summary";#N/A,#N/A,FALSE,"Ratio Analysis";#N/A,#N/A,FALSE,"Test 120 Day Accts";#N/A,#N/A,FALSE,"Tickmarks"}</definedName>
    <definedName name="carne" localSheetId="10" hidden="1">{#N/A,#N/A,FALSE,"Aging Summary";#N/A,#N/A,FALSE,"Ratio Analysis";#N/A,#N/A,FALSE,"Test 120 Day Accts";#N/A,#N/A,FALSE,"Tickmarks"}</definedName>
    <definedName name="carne" hidden="1">{#N/A,#N/A,FALSE,"Aging Summary";#N/A,#N/A,FALSE,"Ratio Analysis";#N/A,#N/A,FALSE,"Test 120 Day Accts";#N/A,#N/A,FALSE,"Tickmarks"}</definedName>
    <definedName name="CARTERA_PP_DIC2008" localSheetId="10" hidden="1">{#N/A,#N/A,FALSE,"Full";#N/A,#N/A,FALSE,"Half";#N/A,#N/A,FALSE,"Op Expenses";#N/A,#N/A,FALSE,"Cap Charge";#N/A,#N/A,FALSE,"Cost C";#N/A,#N/A,FALSE,"PP&amp;E";#N/A,#N/A,FALSE,"R&amp;D"}</definedName>
    <definedName name="CARTERA_PP_DIC2008" hidden="1">{#N/A,#N/A,FALSE,"Full";#N/A,#N/A,FALSE,"Half";#N/A,#N/A,FALSE,"Op Expenses";#N/A,#N/A,FALSE,"Cap Charge";#N/A,#N/A,FALSE,"Cost C";#N/A,#N/A,FALSE,"PP&amp;E";#N/A,#N/A,FALSE,"R&amp;D"}</definedName>
    <definedName name="cas" localSheetId="10" hidden="1">{"'18'!$A$5:$M$18"}</definedName>
    <definedName name="cas" hidden="1">{"'18'!$A$5:$M$18"}</definedName>
    <definedName name="casas" localSheetId="10" hidden="1">{"PYGT",#N/A,FALSE,"PYG";"ACTIT",#N/A,FALSE,"BCE_GRAL-ACTIVO";"PASIT",#N/A,FALSE,"BCE_GRAL-PASIVO-PATRIM";"CAJAT",#N/A,FALSE,"CAJA"}</definedName>
    <definedName name="casas" hidden="1">{"PYGT",#N/A,FALSE,"PYG";"ACTIT",#N/A,FALSE,"BCE_GRAL-ACTIVO";"PASIT",#N/A,FALSE,"BCE_GRAL-PASIVO-PATRIM";"CAJAT",#N/A,FALSE,"CAJA"}</definedName>
    <definedName name="CASINO" localSheetId="9" hidden="1">{#N/A,#N/A,FALSE,"balance";#N/A,#N/A,FALSE,"PYG"}</definedName>
    <definedName name="CASINO" localSheetId="10" hidden="1">{#N/A,#N/A,FALSE,"balance";#N/A,#N/A,FALSE,"PYG"}</definedName>
    <definedName name="CASINO" hidden="1">{#N/A,#N/A,FALSE,"balance";#N/A,#N/A,FALSE,"PYG"}</definedName>
    <definedName name="CBWorkbookPriority" hidden="1">-1906970393</definedName>
    <definedName name="CCCCCCCCCC" localSheetId="10" hidden="1">{#N/A,#N/A,FALSE,"Aging Summary";#N/A,#N/A,FALSE,"Ratio Analysis";#N/A,#N/A,FALSE,"Test 120 Day Accts";#N/A,#N/A,FALSE,"Tickmarks"}</definedName>
    <definedName name="CCCCCCCCCC" hidden="1">{#N/A,#N/A,FALSE,"Aging Summary";#N/A,#N/A,FALSE,"Ratio Analysis";#N/A,#N/A,FALSE,"Test 120 Day Accts";#N/A,#N/A,FALSE,"Tickmarks"}</definedName>
    <definedName name="CEBRA" localSheetId="10" hidden="1">{#N/A,#N/A,FALSE,"Aging Summary";#N/A,#N/A,FALSE,"Ratio Analysis";#N/A,#N/A,FALSE,"Test 120 Day Accts";#N/A,#N/A,FALSE,"Tickmarks"}</definedName>
    <definedName name="CEBRA" hidden="1">{#N/A,#N/A,FALSE,"Aging Summary";#N/A,#N/A,FALSE,"Ratio Analysis";#N/A,#N/A,FALSE,"Test 120 Day Accts";#N/A,#N/A,FALSE,"Tickmarks"}</definedName>
    <definedName name="centro" localSheetId="10" hidden="1">{#N/A,#N/A,FALSE,"GRAFICO";#N/A,#N/A,FALSE,"CAJA (2)";#N/A,#N/A,FALSE,"TERCEROS-PROMEDIO";#N/A,#N/A,FALSE,"CAJA";#N/A,#N/A,FALSE,"INGRESOS1995-2003";#N/A,#N/A,FALSE,"GASTOS1995-2003"}</definedName>
    <definedName name="centro" hidden="1">{#N/A,#N/A,FALSE,"GRAFICO";#N/A,#N/A,FALSE,"CAJA (2)";#N/A,#N/A,FALSE,"TERCEROS-PROMEDIO";#N/A,#N/A,FALSE,"CAJA";#N/A,#N/A,FALSE,"INGRESOS1995-2003";#N/A,#N/A,FALSE,"GASTOS1995-2003"}</definedName>
    <definedName name="clientes" hidden="1">#REF!</definedName>
    <definedName name="cola" localSheetId="10" hidden="1">{#N/A,#N/A,FALSE,"GRAFICO";#N/A,#N/A,FALSE,"CAJA (2)";#N/A,#N/A,FALSE,"TERCEROS-PROMEDIO";#N/A,#N/A,FALSE,"CAJA";#N/A,#N/A,FALSE,"INGRESOS1995-2003";#N/A,#N/A,FALSE,"GASTOS1995-2003"}</definedName>
    <definedName name="cola" hidden="1">{#N/A,#N/A,FALSE,"GRAFICO";#N/A,#N/A,FALSE,"CAJA (2)";#N/A,#N/A,FALSE,"TERCEROS-PROMEDIO";#N/A,#N/A,FALSE,"CAJA";#N/A,#N/A,FALSE,"INGRESOS1995-2003";#N/A,#N/A,FALSE,"GASTOS1995-2003"}</definedName>
    <definedName name="CONCILIACIONELECTROC" localSheetId="10" hidden="1">{#N/A,#N/A,FALSE,"Aging Summary";#N/A,#N/A,FALSE,"Ratio Analysis";#N/A,#N/A,FALSE,"Test 120 Day Accts";#N/A,#N/A,FALSE,"Tickmarks"}</definedName>
    <definedName name="CONCILIACIONELECTROC" hidden="1">{#N/A,#N/A,FALSE,"Aging Summary";#N/A,#N/A,FALSE,"Ratio Analysis";#N/A,#N/A,FALSE,"Test 120 Day Accts";#N/A,#N/A,FALSE,"Tickmarks"}</definedName>
    <definedName name="Concretos" localSheetId="9" hidden="1">{#N/A,#N/A,FALSE,"GP";#N/A,#N/A,FALSE,"Summary"}</definedName>
    <definedName name="Concretos" localSheetId="10" hidden="1">{#N/A,#N/A,FALSE,"GP";#N/A,#N/A,FALSE,"Summary"}</definedName>
    <definedName name="Concretos" hidden="1">{#N/A,#N/A,FALSE,"GP";#N/A,#N/A,FALSE,"Summary"}</definedName>
    <definedName name="corral" localSheetId="10" hidden="1">{#N/A,#N/A,FALSE,"GRAFICO";#N/A,#N/A,FALSE,"CAJA (2)";#N/A,#N/A,FALSE,"TERCEROS-PROMEDIO";#N/A,#N/A,FALSE,"CAJA";#N/A,#N/A,FALSE,"INGRESOS1995-2003";#N/A,#N/A,FALSE,"GASTOS1995-2003"}</definedName>
    <definedName name="corral" hidden="1">{#N/A,#N/A,FALSE,"GRAFICO";#N/A,#N/A,FALSE,"CAJA (2)";#N/A,#N/A,FALSE,"TERCEROS-PROMEDIO";#N/A,#N/A,FALSE,"CAJA";#N/A,#N/A,FALSE,"INGRESOS1995-2003";#N/A,#N/A,FALSE,"GASTOS1995-2003"}</definedName>
    <definedName name="_xlnm.Criteria" localSheetId="10" hidden="1">{#N/A,#N/A,FALSE,"GRAFICO";#N/A,#N/A,FALSE,"CAJA (2)";#N/A,#N/A,FALSE,"TERCEROS-PROMEDIO";#N/A,#N/A,FALSE,"CAJA";#N/A,#N/A,FALSE,"INGRESOS1995-2003";#N/A,#N/A,FALSE,"GASTOS1995-2003"}</definedName>
    <definedName name="_xlnm.Criteria" hidden="1">{#N/A,#N/A,FALSE,"GRAFICO";#N/A,#N/A,FALSE,"CAJA (2)";#N/A,#N/A,FALSE,"TERCEROS-PROMEDIO";#N/A,#N/A,FALSE,"CAJA";#N/A,#N/A,FALSE,"INGRESOS1995-2003";#N/A,#N/A,FALSE,"GASTOS1995-2003"}</definedName>
    <definedName name="crt" localSheetId="10" hidden="1">{#N/A,#N/A,FALSE,"GRAFICO";#N/A,#N/A,FALSE,"CAJA (2)";#N/A,#N/A,FALSE,"TERCEROS-PROMEDIO";#N/A,#N/A,FALSE,"CAJA";#N/A,#N/A,FALSE,"INGRESOS1995-2003";#N/A,#N/A,FALSE,"GASTOS1995-2003"}</definedName>
    <definedName name="crt" hidden="1">{#N/A,#N/A,FALSE,"GRAFICO";#N/A,#N/A,FALSE,"CAJA (2)";#N/A,#N/A,FALSE,"TERCEROS-PROMEDIO";#N/A,#N/A,FALSE,"CAJA";#N/A,#N/A,FALSE,"INGRESOS1995-2003";#N/A,#N/A,FALSE,"GASTOS1995-2003"}</definedName>
    <definedName name="CTALA" localSheetId="10" hidden="1">{#N/A,#N/A,FALSE,"Aging Summary";#N/A,#N/A,FALSE,"Ratio Analysis";#N/A,#N/A,FALSE,"Test 120 Day Accts";#N/A,#N/A,FALSE,"Tickmarks"}</definedName>
    <definedName name="CTALA" hidden="1">{#N/A,#N/A,FALSE,"Aging Summary";#N/A,#N/A,FALSE,"Ratio Analysis";#N/A,#N/A,FALSE,"Test 120 Day Accts";#N/A,#N/A,FALSE,"Tickmarks"}</definedName>
    <definedName name="cuadGrup">#REF!</definedName>
    <definedName name="CUADRE" localSheetId="10" hidden="1">{#N/A,#N/A,FALSE,"Aging Summary";#N/A,#N/A,FALSE,"Ratio Analysis";#N/A,#N/A,FALSE,"Test 120 Day Accts";#N/A,#N/A,FALSE,"Tickmarks"}</definedName>
    <definedName name="CUADRE" hidden="1">{#N/A,#N/A,FALSE,"Aging Summary";#N/A,#N/A,FALSE,"Ratio Analysis";#N/A,#N/A,FALSE,"Test 120 Day Accts";#N/A,#N/A,FALSE,"Tickmarks"}</definedName>
    <definedName name="CX" localSheetId="10" hidden="1">{#N/A,#N/A,FALSE,"Aging Summary";#N/A,#N/A,FALSE,"Ratio Analysis";#N/A,#N/A,FALSE,"Test 120 Day Accts";#N/A,#N/A,FALSE,"Tickmarks"}</definedName>
    <definedName name="CX" hidden="1">{#N/A,#N/A,FALSE,"Aging Summary";#N/A,#N/A,FALSE,"Ratio Analysis";#N/A,#N/A,FALSE,"Test 120 Day Accts";#N/A,#N/A,FALSE,"Tickmarks"}</definedName>
    <definedName name="D" localSheetId="10" hidden="1">{"PYGT",#N/A,FALSE,"PYG";"ACTIT",#N/A,FALSE,"BCE_GRAL-ACTIVO";"PASIT",#N/A,FALSE,"BCE_GRAL-PASIVO-PATRIM";"CAJAT",#N/A,FALSE,"CAJA"}</definedName>
    <definedName name="D" hidden="1">{"PYGT",#N/A,FALSE,"PYG";"ACTIT",#N/A,FALSE,"BCE_GRAL-ACTIVO";"PASIT",#N/A,FALSE,"BCE_GRAL-PASIVO-PATRIM";"CAJAT",#N/A,FALSE,"CAJA"}</definedName>
    <definedName name="DD" localSheetId="9" hidden="1">{#N/A,#N/A,FALSE,"balance";#N/A,#N/A,FALSE,"PYG"}</definedName>
    <definedName name="dd" localSheetId="10" hidden="1">{#N/A,#N/A,FALSE,"balance";#N/A,#N/A,FALSE,"PYG"}</definedName>
    <definedName name="dd" hidden="1">{#N/A,#N/A,FALSE,"balance";#N/A,#N/A,FALSE,"PYG"}</definedName>
    <definedName name="DDDDDD" localSheetId="10" hidden="1">{"PYGS",#N/A,FALSE,"PYG";"ACTIS",#N/A,FALSE,"BCE_GRAL-ACTIVO";"PASIS",#N/A,FALSE,"BCE_GRAL-PASIVO-PATRIM";"CAJAS",#N/A,FALSE,"CAJA"}</definedName>
    <definedName name="DDDDDD" hidden="1">{"PYGS",#N/A,FALSE,"PYG";"ACTIS",#N/A,FALSE,"BCE_GRAL-ACTIVO";"PASIS",#N/A,FALSE,"BCE_GRAL-PASIVO-PATRIM";"CAJAS",#N/A,FALSE,"CAJA"}</definedName>
    <definedName name="ddddddd" localSheetId="10" hidden="1">{"PYGS",#N/A,FALSE,"PYG";"ACTIS",#N/A,FALSE,"BCE_GRAL-ACTIVO";"PASIS",#N/A,FALSE,"BCE_GRAL-PASIVO-PATRIM";"CAJAS",#N/A,FALSE,"CAJA"}</definedName>
    <definedName name="ddddddd" hidden="1">{"PYGS",#N/A,FALSE,"PYG";"ACTIS",#N/A,FALSE,"BCE_GRAL-ACTIVO";"PASIS",#N/A,FALSE,"BCE_GRAL-PASIVO-PATRIM";"CAJAS",#N/A,FALSE,"CAJA"}</definedName>
    <definedName name="ddr" localSheetId="9" hidden="1">{#N/A,#N/A,FALSE,"balance";#N/A,#N/A,FALSE,"PYG"}</definedName>
    <definedName name="ddr" localSheetId="10" hidden="1">{#N/A,#N/A,FALSE,"balance";#N/A,#N/A,FALSE,"PYG"}</definedName>
    <definedName name="ddr" hidden="1">{#N/A,#N/A,FALSE,"balance";#N/A,#N/A,FALSE,"PYG"}</definedName>
    <definedName name="DESFRE" localSheetId="10" hidden="1">{#N/A,#N/A,FALSE,"GRAFICO";#N/A,#N/A,FALSE,"CAJA (2)";#N/A,#N/A,FALSE,"TERCEROS-PROMEDIO";#N/A,#N/A,FALSE,"CAJA";#N/A,#N/A,FALSE,"INGRESOS1995-2003";#N/A,#N/A,FALSE,"GASTOS1995-2003"}</definedName>
    <definedName name="DESFRE" hidden="1">{#N/A,#N/A,FALSE,"GRAFICO";#N/A,#N/A,FALSE,"CAJA (2)";#N/A,#N/A,FALSE,"TERCEROS-PROMEDIO";#N/A,#N/A,FALSE,"CAJA";#N/A,#N/A,FALSE,"INGRESOS1995-2003";#N/A,#N/A,FALSE,"GASTOS1995-2003"}</definedName>
    <definedName name="dffff" localSheetId="9" hidden="1">{#N/A,#N/A,FALSE,"balance";#N/A,#N/A,FALSE,"PYG"}</definedName>
    <definedName name="dffff" localSheetId="10" hidden="1">{#N/A,#N/A,FALSE,"balance";#N/A,#N/A,FALSE,"PYG"}</definedName>
    <definedName name="dffff" hidden="1">{#N/A,#N/A,FALSE,"balance";#N/A,#N/A,FALSE,"PYG"}</definedName>
    <definedName name="dfg" localSheetId="9" hidden="1">{#N/A,#N/A,FALSE,"balance";#N/A,#N/A,FALSE,"PYG"}</definedName>
    <definedName name="dfg" localSheetId="10" hidden="1">{#N/A,#N/A,FALSE,"balance";#N/A,#N/A,FALSE,"PYG"}</definedName>
    <definedName name="dfg" hidden="1">{#N/A,#N/A,FALSE,"balance";#N/A,#N/A,FALSE,"PYG"}</definedName>
    <definedName name="DICIEMBRE">#REF!</definedName>
    <definedName name="DME_Dirty" hidden="1">"False"</definedName>
    <definedName name="DME_DocumentFlags" hidden="1">"1"</definedName>
    <definedName name="DME_DocumentID" hidden="1">"::ODMA\DME-MSE\PC-37552"</definedName>
    <definedName name="DME_DocumentOpened" hidden="1">"Verdadero"</definedName>
    <definedName name="DME_DocumentTitle" hidden="1">"PC-37552 - formulario readquisición de acciones - epsa"</definedName>
    <definedName name="DME_LocalFile" hidden="1">"Falso"</definedName>
    <definedName name="DME_NextWindowNumber" hidden="1">"2"</definedName>
    <definedName name="Dos" localSheetId="10" hidden="1">{#N/A,#N/A,FALSE,"SMT1";#N/A,#N/A,FALSE,"SMT2";#N/A,#N/A,FALSE,"Summary";#N/A,#N/A,FALSE,"Graphs";#N/A,#N/A,FALSE,"4 Panel"}</definedName>
    <definedName name="Dos" hidden="1">{#N/A,#N/A,FALSE,"SMT1";#N/A,#N/A,FALSE,"SMT2";#N/A,#N/A,FALSE,"Summary";#N/A,#N/A,FALSE,"Graphs";#N/A,#N/A,FALSE,"4 Panel"}</definedName>
    <definedName name="DS" localSheetId="10" hidden="1">{#N/A,#N/A,FALSE,"Aging Summary";#N/A,#N/A,FALSE,"Ratio Analysis";#N/A,#N/A,FALSE,"Test 120 Day Accts";#N/A,#N/A,FALSE,"Tickmarks"}</definedName>
    <definedName name="DS" hidden="1">{#N/A,#N/A,FALSE,"Aging Summary";#N/A,#N/A,FALSE,"Ratio Analysis";#N/A,#N/A,FALSE,"Test 120 Day Accts";#N/A,#N/A,FALSE,"Tickmarks"}</definedName>
    <definedName name="E">#REF!</definedName>
    <definedName name="ear" localSheetId="9" hidden="1">{#N/A,#N/A,FALSE,"balance";#N/A,#N/A,FALSE,"PYG"}</definedName>
    <definedName name="ear" localSheetId="10" hidden="1">{#N/A,#N/A,FALSE,"balance";#N/A,#N/A,FALSE,"PYG"}</definedName>
    <definedName name="ear" hidden="1">{#N/A,#N/A,FALSE,"balance";#N/A,#N/A,FALSE,"PYG"}</definedName>
    <definedName name="Ebitda" localSheetId="10" hidden="1">{#N/A,#N/A,FALSE,"GRAFICO";#N/A,#N/A,FALSE,"CAJA (2)";#N/A,#N/A,FALSE,"TERCEROS-PROMEDIO";#N/A,#N/A,FALSE,"CAJA";#N/A,#N/A,FALSE,"INGRESOS1995-2003";#N/A,#N/A,FALSE,"GASTOS1995-2003"}</definedName>
    <definedName name="Ebitda" hidden="1">{#N/A,#N/A,FALSE,"GRAFICO";#N/A,#N/A,FALSE,"CAJA (2)";#N/A,#N/A,FALSE,"TERCEROS-PROMEDIO";#N/A,#N/A,FALSE,"CAJA";#N/A,#N/A,FALSE,"INGRESOS1995-2003";#N/A,#N/A,FALSE,"GASTOS1995-2003"}</definedName>
    <definedName name="ee" localSheetId="9" hidden="1">{#N/A,#N/A,FALSE,"balance";#N/A,#N/A,FALSE,"PYG"}</definedName>
    <definedName name="ee" localSheetId="10" hidden="1">{#N/A,#N/A,FALSE,"balance";#N/A,#N/A,FALSE,"PYG"}</definedName>
    <definedName name="ee" hidden="1">{#N/A,#N/A,FALSE,"balance";#N/A,#N/A,FALSE,"PYG"}</definedName>
    <definedName name="electricaribeLP" localSheetId="10" hidden="1">{#N/A,#N/A,FALSE,"Aging Summary";#N/A,#N/A,FALSE,"Ratio Analysis";#N/A,#N/A,FALSE,"Test 120 Day Accts";#N/A,#N/A,FALSE,"Tickmarks"}</definedName>
    <definedName name="electricaribeLP" hidden="1">{#N/A,#N/A,FALSE,"Aging Summary";#N/A,#N/A,FALSE,"Ratio Analysis";#N/A,#N/A,FALSE,"Test 120 Day Accts";#N/A,#N/A,FALSE,"Tickmarks"}</definedName>
    <definedName name="ENANO" localSheetId="10" hidden="1">{#N/A,#N/A,FALSE,"Aging Summary";#N/A,#N/A,FALSE,"Ratio Analysis";#N/A,#N/A,FALSE,"Test 120 Day Accts";#N/A,#N/A,FALSE,"Tickmarks"}</definedName>
    <definedName name="ENANO" hidden="1">{#N/A,#N/A,FALSE,"Aging Summary";#N/A,#N/A,FALSE,"Ratio Analysis";#N/A,#N/A,FALSE,"Test 120 Day Accts";#N/A,#N/A,FALSE,"Tickmarks"}</definedName>
    <definedName name="er" localSheetId="9" hidden="1">{#N/A,#N/A,FALSE,"balance";#N/A,#N/A,FALSE,"PYG"}</definedName>
    <definedName name="er" localSheetId="10" hidden="1">{#N/A,#N/A,FALSE,"balance";#N/A,#N/A,FALSE,"PYG"}</definedName>
    <definedName name="er" hidden="1">{#N/A,#N/A,FALSE,"balance";#N/A,#N/A,FALSE,"PYG"}</definedName>
    <definedName name="ERD" localSheetId="10" hidden="1">{#N/A,#N/A,FALSE,"Aging Summary";#N/A,#N/A,FALSE,"Ratio Analysis";#N/A,#N/A,FALSE,"Test 120 Day Accts";#N/A,#N/A,FALSE,"Tickmarks"}</definedName>
    <definedName name="ERD" hidden="1">{#N/A,#N/A,FALSE,"Aging Summary";#N/A,#N/A,FALSE,"Ratio Analysis";#N/A,#N/A,FALSE,"Test 120 Day Accts";#N/A,#N/A,FALSE,"Tickmarks"}</definedName>
    <definedName name="ERE" localSheetId="10" hidden="1">{"'18'!$A$5:$M$18"}</definedName>
    <definedName name="ERE" hidden="1">{"'18'!$A$5:$M$18"}</definedName>
    <definedName name="ert" localSheetId="9" hidden="1">{#N/A,#N/A,FALSE,"balance";#N/A,#N/A,FALSE,"PYG"}</definedName>
    <definedName name="ert" localSheetId="10" hidden="1">{#N/A,#N/A,FALSE,"balance";#N/A,#N/A,FALSE,"PYG"}</definedName>
    <definedName name="ert" hidden="1">{#N/A,#N/A,FALSE,"balance";#N/A,#N/A,FALSE,"PYG"}</definedName>
    <definedName name="ESCENARIO" localSheetId="10" hidden="1">{#N/A,#N/A,FALSE,"GRAFICO";#N/A,#N/A,FALSE,"CAJA (2)";#N/A,#N/A,FALSE,"TERCEROS-PROMEDIO";#N/A,#N/A,FALSE,"CAJA";#N/A,#N/A,FALSE,"INGRESOS1995-2003";#N/A,#N/A,FALSE,"GASTOS1995-2003"}</definedName>
    <definedName name="ESCENARIO" hidden="1">{#N/A,#N/A,FALSE,"GRAFICO";#N/A,#N/A,FALSE,"CAJA (2)";#N/A,#N/A,FALSE,"TERCEROS-PROMEDIO";#N/A,#N/A,FALSE,"CAJA";#N/A,#N/A,FALSE,"INGRESOS1995-2003";#N/A,#N/A,FALSE,"GASTOS1995-2003"}</definedName>
    <definedName name="este" localSheetId="10" hidden="1">{"PYGT",#N/A,FALSE,"PYG";"ACTIT",#N/A,FALSE,"BCE_GRAL-ACTIVO";"PASIT",#N/A,FALSE,"BCE_GRAL-PASIVO-PATRIM";"CAJAT",#N/A,FALSE,"CAJA"}</definedName>
    <definedName name="este" hidden="1">{"PYGT",#N/A,FALSE,"PYG";"ACTIT",#N/A,FALSE,"BCE_GRAL-ACTIVO";"PASIT",#N/A,FALSE,"BCE_GRAL-PASIVO-PATRIM";"CAJAT",#N/A,FALSE,"CAJA"}</definedName>
    <definedName name="ESTEWW" localSheetId="10" hidden="1">{#N/A,#N/A,FALSE,"GRAFICO";#N/A,#N/A,FALSE,"CAJA (2)";#N/A,#N/A,FALSE,"TERCEROS-PROMEDIO";#N/A,#N/A,FALSE,"CAJA";#N/A,#N/A,FALSE,"INGRESOS1995-2003";#N/A,#N/A,FALSE,"GASTOS1995-2003"}</definedName>
    <definedName name="ESTEWW" hidden="1">{#N/A,#N/A,FALSE,"GRAFICO";#N/A,#N/A,FALSE,"CAJA (2)";#N/A,#N/A,FALSE,"TERCEROS-PROMEDIO";#N/A,#N/A,FALSE,"CAJA";#N/A,#N/A,FALSE,"INGRESOS1995-2003";#N/A,#N/A,FALSE,"GASTOS1995-2003"}</definedName>
    <definedName name="Estoquees" localSheetId="10" hidden="1">{#N/A,#N/A,FALSE,"Aging Summary";#N/A,#N/A,FALSE,"Ratio Analysis";#N/A,#N/A,FALSE,"Test 120 Day Accts";#N/A,#N/A,FALSE,"Tickmarks"}</definedName>
    <definedName name="Estoquees" hidden="1">{#N/A,#N/A,FALSE,"Aging Summary";#N/A,#N/A,FALSE,"Ratio Analysis";#N/A,#N/A,FALSE,"Test 120 Day Accts";#N/A,#N/A,FALSE,"Tickmarks"}</definedName>
    <definedName name="estoquees1" localSheetId="10" hidden="1">{#N/A,#N/A,FALSE,"Aging Summary";#N/A,#N/A,FALSE,"Ratio Analysis";#N/A,#N/A,FALSE,"Test 120 Day Accts";#N/A,#N/A,FALSE,"Tickmarks"}</definedName>
    <definedName name="estoquees1" hidden="1">{#N/A,#N/A,FALSE,"Aging Summary";#N/A,#N/A,FALSE,"Ratio Analysis";#N/A,#N/A,FALSE,"Test 120 Day Accts";#N/A,#N/A,FALSE,"Tickmarks"}</definedName>
    <definedName name="estoquees2" localSheetId="10" hidden="1">{#N/A,#N/A,FALSE,"Aging Summary";#N/A,#N/A,FALSE,"Ratio Analysis";#N/A,#N/A,FALSE,"Test 120 Day Accts";#N/A,#N/A,FALSE,"Tickmarks"}</definedName>
    <definedName name="estoquees2" hidden="1">{#N/A,#N/A,FALSE,"Aging Summary";#N/A,#N/A,FALSE,"Ratio Analysis";#N/A,#N/A,FALSE,"Test 120 Day Accts";#N/A,#N/A,FALSE,"Tickmarks"}</definedName>
    <definedName name="estre" localSheetId="10" hidden="1">{#N/A,#N/A,FALSE,"GRAFICO";#N/A,#N/A,FALSE,"CAJA (2)";#N/A,#N/A,FALSE,"TERCEROS-PROMEDIO";#N/A,#N/A,FALSE,"CAJA";#N/A,#N/A,FALSE,"INGRESOS1995-2003";#N/A,#N/A,FALSE,"GASTOS1995-2003"}</definedName>
    <definedName name="estre" hidden="1">{#N/A,#N/A,FALSE,"GRAFICO";#N/A,#N/A,FALSE,"CAJA (2)";#N/A,#N/A,FALSE,"TERCEROS-PROMEDIO";#N/A,#N/A,FALSE,"CAJA";#N/A,#N/A,FALSE,"INGRESOS1995-2003";#N/A,#N/A,FALSE,"GASTOS1995-2003"}</definedName>
    <definedName name="ev.Calculation" hidden="1">-4135</definedName>
    <definedName name="ev.Initialized" hidden="1">FALSE</definedName>
    <definedName name="ewew" localSheetId="10" hidden="1">{"'18'!$A$5:$M$18"}</definedName>
    <definedName name="ewew" hidden="1">{"'18'!$A$5:$M$18"}</definedName>
    <definedName name="EWQ" localSheetId="10" hidden="1">{#N/A,#N/A,FALSE,"Aging Summary";#N/A,#N/A,FALSE,"Ratio Analysis";#N/A,#N/A,FALSE,"Test 120 Day Accts";#N/A,#N/A,FALSE,"Tickmarks"}</definedName>
    <definedName name="EWQ" hidden="1">{#N/A,#N/A,FALSE,"Aging Summary";#N/A,#N/A,FALSE,"Ratio Analysis";#N/A,#N/A,FALSE,"Test 120 Day Accts";#N/A,#N/A,FALSE,"Tickmarks"}</definedName>
    <definedName name="FAROL" localSheetId="10" hidden="1">{"PYGT",#N/A,FALSE,"PYG";"ACTIT",#N/A,FALSE,"BCE_GRAL-ACTIVO";"PASIT",#N/A,FALSE,"BCE_GRAL-PASIVO-PATRIM";"CAJAT",#N/A,FALSE,"CAJA"}</definedName>
    <definedName name="FAROL" hidden="1">{"PYGT",#N/A,FALSE,"PYG";"ACTIT",#N/A,FALSE,"BCE_GRAL-ACTIVO";"PASIT",#N/A,FALSE,"BCE_GRAL-PASIVO-PATRIM";"CAJAT",#N/A,FALSE,"CAJA"}</definedName>
    <definedName name="FD156d" localSheetId="9" hidden="1">{#N/A,#N/A,FALSE,"balance";#N/A,#N/A,FALSE,"PYG"}</definedName>
    <definedName name="FD156d" localSheetId="10" hidden="1">{#N/A,#N/A,FALSE,"balance";#N/A,#N/A,FALSE,"PYG"}</definedName>
    <definedName name="FD156d" hidden="1">{#N/A,#N/A,FALSE,"balance";#N/A,#N/A,FALSE,"PYG"}</definedName>
    <definedName name="ff" localSheetId="10" hidden="1">{#N/A,#N/A,FALSE,"GRAFICO";#N/A,#N/A,FALSE,"CAJA (2)";#N/A,#N/A,FALSE,"TERCEROS-PROMEDIO";#N/A,#N/A,FALSE,"CAJA";#N/A,#N/A,FALSE,"INGRESOS1995-2003";#N/A,#N/A,FALSE,"GASTOS1995-2003"}</definedName>
    <definedName name="ff" hidden="1">{#N/A,#N/A,FALSE,"GRAFICO";#N/A,#N/A,FALSE,"CAJA (2)";#N/A,#N/A,FALSE,"TERCEROS-PROMEDIO";#N/A,#N/A,FALSE,"CAJA";#N/A,#N/A,FALSE,"INGRESOS1995-2003";#N/A,#N/A,FALSE,"GASTOS1995-2003"}</definedName>
    <definedName name="ffgh" localSheetId="10" hidden="1">{#N/A,#N/A,FALSE,"Aging Summary";#N/A,#N/A,FALSE,"Ratio Analysis";#N/A,#N/A,FALSE,"Test 120 Day Accts";#N/A,#N/A,FALSE,"Tickmarks"}</definedName>
    <definedName name="ffgh" hidden="1">{#N/A,#N/A,FALSE,"Aging Summary";#N/A,#N/A,FALSE,"Ratio Analysis";#N/A,#N/A,FALSE,"Test 120 Day Accts";#N/A,#N/A,FALSE,"Tickmarks"}</definedName>
    <definedName name="fgf" localSheetId="10" hidden="1">{#N/A,#N/A,FALSE,"Aging Summary";#N/A,#N/A,FALSE,"Ratio Analysis";#N/A,#N/A,FALSE,"Test 120 Day Accts";#N/A,#N/A,FALSE,"Tickmarks"}</definedName>
    <definedName name="fgf" hidden="1">{#N/A,#N/A,FALSE,"Aging Summary";#N/A,#N/A,FALSE,"Ratio Analysis";#N/A,#N/A,FALSE,"Test 120 Day Accts";#N/A,#N/A,FALSE,"Tickmarks"}</definedName>
    <definedName name="FIDUCIASOCTUBRE" localSheetId="10" hidden="1">{#N/A,#N/A,FALSE,"Aging Summary";#N/A,#N/A,FALSE,"Ratio Analysis";#N/A,#N/A,FALSE,"Test 120 Day Accts";#N/A,#N/A,FALSE,"Tickmarks"}</definedName>
    <definedName name="FIDUCIASOCTUBRE" hidden="1">{#N/A,#N/A,FALSE,"Aging Summary";#N/A,#N/A,FALSE,"Ratio Analysis";#N/A,#N/A,FALSE,"Test 120 Day Accts";#N/A,#N/A,FALSE,"Tickmarks"}</definedName>
    <definedName name="forward" localSheetId="10" hidden="1">{#N/A,#N/A,FALSE,"Aging Summary";#N/A,#N/A,FALSE,"Ratio Analysis";#N/A,#N/A,FALSE,"Test 120 Day Accts";#N/A,#N/A,FALSE,"Tickmarks"}</definedName>
    <definedName name="forward" hidden="1">{#N/A,#N/A,FALSE,"Aging Summary";#N/A,#N/A,FALSE,"Ratio Analysis";#N/A,#N/A,FALSE,"Test 120 Day Accts";#N/A,#N/A,FALSE,"Tickmarks"}</definedName>
    <definedName name="FREV" localSheetId="10" hidden="1">{"PYGT",#N/A,FALSE,"PYG";"ACTIT",#N/A,FALSE,"BCE_GRAL-ACTIVO";"PASIT",#N/A,FALSE,"BCE_GRAL-PASIVO-PATRIM";"CAJAT",#N/A,FALSE,"CAJA"}</definedName>
    <definedName name="FREV" hidden="1">{"PYGT",#N/A,FALSE,"PYG";"ACTIT",#N/A,FALSE,"BCE_GRAL-ACTIVO";"PASIT",#N/A,FALSE,"BCE_GRAL-PASIVO-PATRIM";"CAJAT",#N/A,FALSE,"CAJA"}</definedName>
    <definedName name="fvb" localSheetId="10" hidden="1">{#N/A,#N/A,FALSE,"Aging Summary";#N/A,#N/A,FALSE,"Ratio Analysis";#N/A,#N/A,FALSE,"Test 120 Day Accts";#N/A,#N/A,FALSE,"Tickmarks"}</definedName>
    <definedName name="fvb" hidden="1">{#N/A,#N/A,FALSE,"Aging Summary";#N/A,#N/A,FALSE,"Ratio Analysis";#N/A,#N/A,FALSE,"Test 120 Day Accts";#N/A,#N/A,FALSE,"Tickmarks"}</definedName>
    <definedName name="GALLO" localSheetId="10" hidden="1">{#N/A,#N/A,FALSE,"Aging Summary";#N/A,#N/A,FALSE,"Ratio Analysis";#N/A,#N/A,FALSE,"Test 120 Day Accts";#N/A,#N/A,FALSE,"Tickmarks"}</definedName>
    <definedName name="GALLO" hidden="1">{#N/A,#N/A,FALSE,"Aging Summary";#N/A,#N/A,FALSE,"Ratio Analysis";#N/A,#N/A,FALSE,"Test 120 Day Accts";#N/A,#N/A,FALSE,"Tickmarks"}</definedName>
    <definedName name="Gastos" localSheetId="10" hidden="1">{#N/A,#N/A,FALSE,"GRAFICO";#N/A,#N/A,FALSE,"CAJA (2)";#N/A,#N/A,FALSE,"TERCEROS-PROMEDIO";#N/A,#N/A,FALSE,"CAJA";#N/A,#N/A,FALSE,"INGRESOS1995-2003";#N/A,#N/A,FALSE,"GASTOS1995-2003"}</definedName>
    <definedName name="Gastos" hidden="1">{#N/A,#N/A,FALSE,"GRAFICO";#N/A,#N/A,FALSE,"CAJA (2)";#N/A,#N/A,FALSE,"TERCEROS-PROMEDIO";#N/A,#N/A,FALSE,"CAJA";#N/A,#N/A,FALSE,"INGRESOS1995-2003";#N/A,#N/A,FALSE,"GASTOS1995-2003"}</definedName>
    <definedName name="GATO" localSheetId="10" hidden="1">{#N/A,#N/A,FALSE,"Aging Summary";#N/A,#N/A,FALSE,"Ratio Analysis";#N/A,#N/A,FALSE,"Test 120 Day Accts";#N/A,#N/A,FALSE,"Tickmarks"}</definedName>
    <definedName name="GATO" hidden="1">{#N/A,#N/A,FALSE,"Aging Summary";#N/A,#N/A,FALSE,"Ratio Analysis";#N/A,#N/A,FALSE,"Test 120 Day Accts";#N/A,#N/A,FALSE,"Tickmarks"}</definedName>
    <definedName name="gfdf" localSheetId="9" hidden="1">{#N/A,#N/A,FALSE,"balance";#N/A,#N/A,FALSE,"PYG"}</definedName>
    <definedName name="gfdf" localSheetId="10" hidden="1">{#N/A,#N/A,FALSE,"balance";#N/A,#N/A,FALSE,"PYG"}</definedName>
    <definedName name="gfdf" hidden="1">{#N/A,#N/A,FALSE,"balance";#N/A,#N/A,FALSE,"PYG"}</definedName>
    <definedName name="GFDM" localSheetId="10" hidden="1">{#N/A,#N/A,FALSE,"Aging Summary";#N/A,#N/A,FALSE,"Ratio Analysis";#N/A,#N/A,FALSE,"Test 120 Day Accts";#N/A,#N/A,FALSE,"Tickmarks"}</definedName>
    <definedName name="GFDM" hidden="1">{#N/A,#N/A,FALSE,"Aging Summary";#N/A,#N/A,FALSE,"Ratio Analysis";#N/A,#N/A,FALSE,"Test 120 Day Accts";#N/A,#N/A,FALSE,"Tickmarks"}</definedName>
    <definedName name="GGF" localSheetId="9" hidden="1">{#N/A,#N/A,FALSE,"balance";#N/A,#N/A,FALSE,"PYG"}</definedName>
    <definedName name="GGF" localSheetId="10" hidden="1">{#N/A,#N/A,FALSE,"balance";#N/A,#N/A,FALSE,"PYG"}</definedName>
    <definedName name="GGF" hidden="1">{#N/A,#N/A,FALSE,"balance";#N/A,#N/A,FALSE,"PYG"}</definedName>
    <definedName name="ggfa" localSheetId="9" hidden="1">{#N/A,#N/A,FALSE,"balance";#N/A,#N/A,FALSE,"PYG"}</definedName>
    <definedName name="ggfa" localSheetId="10" hidden="1">{#N/A,#N/A,FALSE,"balance";#N/A,#N/A,FALSE,"PYG"}</definedName>
    <definedName name="ggfa" hidden="1">{#N/A,#N/A,FALSE,"balance";#N/A,#N/A,FALSE,"PYG"}</definedName>
    <definedName name="gibran" localSheetId="9" hidden="1">{#N/A,#N/A,FALSE,"balance";#N/A,#N/A,FALSE,"PYG"}</definedName>
    <definedName name="gibran" localSheetId="10" hidden="1">{#N/A,#N/A,FALSE,"balance";#N/A,#N/A,FALSE,"PYG"}</definedName>
    <definedName name="gibran" hidden="1">{#N/A,#N/A,FALSE,"balance";#N/A,#N/A,FALSE,"PYG"}</definedName>
    <definedName name="gibranguerrero" localSheetId="9" hidden="1">{#N/A,#N/A,FALSE,"balance";#N/A,#N/A,FALSE,"PYG"}</definedName>
    <definedName name="gibranguerrero" localSheetId="10" hidden="1">{#N/A,#N/A,FALSE,"balance";#N/A,#N/A,FALSE,"PYG"}</definedName>
    <definedName name="gibranguerrero" hidden="1">{#N/A,#N/A,FALSE,"balance";#N/A,#N/A,FALSE,"PYG"}</definedName>
    <definedName name="GJK" localSheetId="10" hidden="1">{#N/A,#N/A,FALSE,"Aging Summary";#N/A,#N/A,FALSE,"Ratio Analysis";#N/A,#N/A,FALSE,"Test 120 Day Accts";#N/A,#N/A,FALSE,"Tickmarks"}</definedName>
    <definedName name="GJK" hidden="1">{#N/A,#N/A,FALSE,"Aging Summary";#N/A,#N/A,FALSE,"Ratio Analysis";#N/A,#N/A,FALSE,"Test 120 Day Accts";#N/A,#N/A,FALSE,"Tickmarks"}</definedName>
    <definedName name="goy" localSheetId="10" hidden="1">{#N/A,#N/A,FALSE,"GRAFICO";#N/A,#N/A,FALSE,"CAJA (2)";#N/A,#N/A,FALSE,"TERCEROS-PROMEDIO";#N/A,#N/A,FALSE,"CAJA";#N/A,#N/A,FALSE,"INGRESOS1995-2003";#N/A,#N/A,FALSE,"GASTOS1995-2003"}</definedName>
    <definedName name="goy" hidden="1">{#N/A,#N/A,FALSE,"GRAFICO";#N/A,#N/A,FALSE,"CAJA (2)";#N/A,#N/A,FALSE,"TERCEROS-PROMEDIO";#N/A,#N/A,FALSE,"CAJA";#N/A,#N/A,FALSE,"INGRESOS1995-2003";#N/A,#N/A,FALSE,"GASTOS1995-2003"}</definedName>
    <definedName name="GrafGrup">#REF!</definedName>
    <definedName name="gxñ" localSheetId="10" hidden="1">{#N/A,#N/A,FALSE,"Aging Summary";#N/A,#N/A,FALSE,"Ratio Analysis";#N/A,#N/A,FALSE,"Test 120 Day Accts";#N/A,#N/A,FALSE,"Tickmarks"}</definedName>
    <definedName name="gxñ" hidden="1">{#N/A,#N/A,FALSE,"Aging Summary";#N/A,#N/A,FALSE,"Ratio Analysis";#N/A,#N/A,FALSE,"Test 120 Day Accts";#N/A,#N/A,FALSE,"Tickmarks"}</definedName>
    <definedName name="gyfdyg" localSheetId="9" hidden="1">{#N/A,#N/A,FALSE,"balance";#N/A,#N/A,FALSE,"PYG"}</definedName>
    <definedName name="gyfdyg" localSheetId="10" hidden="1">{#N/A,#N/A,FALSE,"balance";#N/A,#N/A,FALSE,"PYG"}</definedName>
    <definedName name="gyfdyg" hidden="1">{#N/A,#N/A,FALSE,"balance";#N/A,#N/A,FALSE,"PYG"}</definedName>
    <definedName name="H" localSheetId="10" hidden="1">{"PYGS",#N/A,FALSE,"PYG";"ACTIS",#N/A,FALSE,"BCE_GRAL-ACTIVO";"PASIS",#N/A,FALSE,"BCE_GRAL-PASIVO-PATRIM";"CAJAS",#N/A,FALSE,"CAJA"}</definedName>
    <definedName name="H" hidden="1">{"PYGS",#N/A,FALSE,"PYG";"ACTIS",#N/A,FALSE,"BCE_GRAL-ACTIVO";"PASIS",#N/A,FALSE,"BCE_GRAL-PASIVO-PATRIM";"CAJAS",#N/A,FALSE,"CAJA"}</definedName>
    <definedName name="hcc" localSheetId="9" hidden="1">{#N/A,#N/A,FALSE,"balance";#N/A,#N/A,FALSE,"PYG"}</definedName>
    <definedName name="hcc" localSheetId="10" hidden="1">{#N/A,#N/A,FALSE,"balance";#N/A,#N/A,FALSE,"PYG"}</definedName>
    <definedName name="hcc" hidden="1">{#N/A,#N/A,FALSE,"balance";#N/A,#N/A,FALSE,"PYG"}</definedName>
    <definedName name="HG" localSheetId="10" hidden="1">{#N/A,#N/A,FALSE,"Aging Summary";#N/A,#N/A,FALSE,"Ratio Analysis";#N/A,#N/A,FALSE,"Test 120 Day Accts";#N/A,#N/A,FALSE,"Tickmarks"}</definedName>
    <definedName name="HG" hidden="1">{#N/A,#N/A,FALSE,"Aging Summary";#N/A,#N/A,FALSE,"Ratio Analysis";#N/A,#N/A,FALSE,"Test 120 Day Accts";#N/A,#N/A,FALSE,"Tickmarks"}</definedName>
    <definedName name="HGJ" localSheetId="10" hidden="1">{#N/A,#N/A,FALSE,"Aging Summary";#N/A,#N/A,FALSE,"Ratio Analysis";#N/A,#N/A,FALSE,"Test 120 Day Accts";#N/A,#N/A,FALSE,"Tickmarks"}</definedName>
    <definedName name="HGJ" hidden="1">{#N/A,#N/A,FALSE,"Aging Summary";#N/A,#N/A,FALSE,"Ratio Analysis";#N/A,#N/A,FALSE,"Test 120 Day Accts";#N/A,#N/A,FALSE,"Tickmarks"}</definedName>
    <definedName name="hhhhhh" localSheetId="10" hidden="1">{"PYGT",#N/A,FALSE,"PYG";"ACTIT",#N/A,FALSE,"BCE_GRAL-ACTIVO";"PASIT",#N/A,FALSE,"BCE_GRAL-PASIVO-PATRIM";"CAJAT",#N/A,FALSE,"CAJA"}</definedName>
    <definedName name="hhhhhh" hidden="1">{"PYGT",#N/A,FALSE,"PYG";"ACTIT",#N/A,FALSE,"BCE_GRAL-ACTIVO";"PASIT",#N/A,FALSE,"BCE_GRAL-PASIVO-PATRIM";"CAJAT",#N/A,FALSE,"CAJA"}</definedName>
    <definedName name="hhhhhhhhhhh" localSheetId="10" hidden="1">{"PYGS",#N/A,FALSE,"PYG";"ACTIS",#N/A,FALSE,"BCE_GRAL-ACTIVO";"PASIS",#N/A,FALSE,"BCE_GRAL-PASIVO-PATRIM";"CAJAS",#N/A,FALSE,"CAJA"}</definedName>
    <definedName name="hhhhhhhhhhh" hidden="1">{"PYGS",#N/A,FALSE,"PYG";"ACTIS",#N/A,FALSE,"BCE_GRAL-ACTIVO";"PASIS",#N/A,FALSE,"BCE_GRAL-PASIVO-PATRIM";"CAJAS",#N/A,FALSE,"CAJA"}</definedName>
    <definedName name="hhhhhhhhhhhh" localSheetId="10" hidden="1">{"PYGT",#N/A,FALSE,"PYG";"ACTIT",#N/A,FALSE,"BCE_GRAL-ACTIVO";"PASIT",#N/A,FALSE,"BCE_GRAL-PASIVO-PATRIM";"CAJAT",#N/A,FALSE,"CAJA"}</definedName>
    <definedName name="hhhhhhhhhhhh" hidden="1">{"PYGT",#N/A,FALSE,"PYG";"ACTIT",#N/A,FALSE,"BCE_GRAL-ACTIVO";"PASIT",#N/A,FALSE,"BCE_GRAL-PASIVO-PATRIM";"CAJAT",#N/A,FALSE,"CAJA"}</definedName>
    <definedName name="hn.ExtDb" hidden="1">FALSE</definedName>
    <definedName name="hn.ModelType" hidden="1">"DEAL"</definedName>
    <definedName name="hn.ModelVersion" hidden="1">1</definedName>
    <definedName name="hn.NoUpload" hidden="1">0</definedName>
    <definedName name="hoha" localSheetId="10" hidden="1">{"PYGT",#N/A,FALSE,"PYG";"ACTIT",#N/A,FALSE,"BCE_GRAL-ACTIVO";"PASIT",#N/A,FALSE,"BCE_GRAL-PASIVO-PATRIM";"CAJAT",#N/A,FALSE,"CAJA"}</definedName>
    <definedName name="hoha" hidden="1">{"PYGT",#N/A,FALSE,"PYG";"ACTIT",#N/A,FALSE,"BCE_GRAL-ACTIVO";"PASIT",#N/A,FALSE,"BCE_GRAL-PASIVO-PATRIM";"CAJAT",#N/A,FALSE,"CAJA"}</definedName>
    <definedName name="hoja" localSheetId="10" hidden="1">{"PYGT",#N/A,FALSE,"PYG";"ACTIT",#N/A,FALSE,"BCE_GRAL-ACTIVO";"PASIT",#N/A,FALSE,"BCE_GRAL-PASIVO-PATRIM";"CAJAT",#N/A,FALSE,"CAJA"}</definedName>
    <definedName name="hoja" hidden="1">{"PYGT",#N/A,FALSE,"PYG";"ACTIT",#N/A,FALSE,"BCE_GRAL-ACTIVO";"PASIT",#N/A,FALSE,"BCE_GRAL-PASIVO-PATRIM";"CAJAT",#N/A,FALSE,"CAJA"}</definedName>
    <definedName name="hojanueva" localSheetId="10" hidden="1">{#N/A,#N/A,FALSE,"SMT1";#N/A,#N/A,FALSE,"SMT2";#N/A,#N/A,FALSE,"Summary";#N/A,#N/A,FALSE,"Graphs";#N/A,#N/A,FALSE,"4 Panel"}</definedName>
    <definedName name="hojanueva" hidden="1">{#N/A,#N/A,FALSE,"SMT1";#N/A,#N/A,FALSE,"SMT2";#N/A,#N/A,FALSE,"Summary";#N/A,#N/A,FALSE,"Graphs";#N/A,#N/A,FALSE,"4 Panel"}</definedName>
    <definedName name="HOLA" localSheetId="10" hidden="1">{"'18'!$A$5:$M$18"}</definedName>
    <definedName name="HOLA" hidden="1">{"'18'!$A$5:$M$18"}</definedName>
    <definedName name="HTML_CodePage" hidden="1">1252</definedName>
    <definedName name="HTML_Control" localSheetId="9" hidden="1">{"'input-data'!$B$5:$R$22"}</definedName>
    <definedName name="HTML_Control" localSheetId="10" hidden="1">{"'input-data'!$B$5:$R$22"}</definedName>
    <definedName name="HTML_Control" hidden="1">{"'input-data'!$B$5:$R$22"}</definedName>
    <definedName name="Html_control1" localSheetId="10" hidden="1">{"'18'!$A$5:$M$18"}</definedName>
    <definedName name="Html_control1" hidden="1">{"'18'!$A$5:$M$18"}</definedName>
    <definedName name="HTML_Description" hidden="1">""</definedName>
    <definedName name="HTML_Email" hidden="1">""</definedName>
    <definedName name="HTML_Header" hidden="1">"input-data"</definedName>
    <definedName name="HTML_LastUpdate" hidden="1">"05/05/2000"</definedName>
    <definedName name="HTML_LineAfter" hidden="1">FALSE</definedName>
    <definedName name="HTML_LineBefore" hidden="1">FALSE</definedName>
    <definedName name="HTML_Name" hidden="1">"Repsol"</definedName>
    <definedName name="HTML_OBDlg2" hidden="1">TRUE</definedName>
    <definedName name="HTML_OBDlg3" hidden="1">TRUE</definedName>
    <definedName name="HTML_OBDlg4" hidden="1">TRUE</definedName>
    <definedName name="HTML_OS" hidden="1">0</definedName>
    <definedName name="HTML_PathFile" hidden="1">"C:\HENDRIK.htm"</definedName>
    <definedName name="HTML_PathTemplate" hidden="1">"D:\Pruebas\HTML.htm"</definedName>
    <definedName name="HTML_Title" hidden="1">"PPTO_2000_def_May00_PDVSA"</definedName>
    <definedName name="I" localSheetId="10" hidden="1">{"PYGT",#N/A,FALSE,"PYG";"ACTIT",#N/A,FALSE,"BCE_GRAL-ACTIVO";"PASIT",#N/A,FALSE,"BCE_GRAL-PASIVO-PATRIM";"CAJAT",#N/A,FALSE,"CAJA"}</definedName>
    <definedName name="I" hidden="1">{"PYGT",#N/A,FALSE,"PYG";"ACTIT",#N/A,FALSE,"BCE_GRAL-ACTIVO";"PASIT",#N/A,FALSE,"BCE_GRAL-PASIVO-PATRIM";"CAJAT",#N/A,FALSE,"CAJA"}</definedName>
    <definedName name="iiiiiiiiiiiiii" localSheetId="10" hidden="1">{"PYGT",#N/A,FALSE,"PYG";"ACTIT",#N/A,FALSE,"BCE_GRAL-ACTIVO";"PASIT",#N/A,FALSE,"BCE_GRAL-PASIVO-PATRIM";"CAJAT",#N/A,FALSE,"CAJA"}</definedName>
    <definedName name="iiiiiiiiiiiiii" hidden="1">{"PYGT",#N/A,FALSE,"PYG";"ACTIT",#N/A,FALSE,"BCE_GRAL-ACTIVO";"PASIT",#N/A,FALSE,"BCE_GRAL-PASIVO-PATRIM";"CAJAT",#N/A,FALSE,"CAJA"}</definedName>
    <definedName name="ij" localSheetId="10" hidden="1">{#N/A,#N/A,FALSE,"Aging Summary";#N/A,#N/A,FALSE,"Ratio Analysis";#N/A,#N/A,FALSE,"Test 120 Day Accts";#N/A,#N/A,FALSE,"Tickmarks"}</definedName>
    <definedName name="ij" hidden="1">{#N/A,#N/A,FALSE,"Aging Summary";#N/A,#N/A,FALSE,"Ratio Analysis";#N/A,#N/A,FALSE,"Test 120 Day Accts";#N/A,#N/A,FALSE,"Tickmarks"}</definedName>
    <definedName name="IMP_SUPER034">#REF!</definedName>
    <definedName name="ind" localSheetId="10" hidden="1">{"'18'!$A$5:$M$18"}</definedName>
    <definedName name="ind" hidden="1">{"'18'!$A$5:$M$18"}</definedName>
    <definedName name="Indus" localSheetId="10" hidden="1">{"'18'!$A$5:$M$18"}</definedName>
    <definedName name="Indus" hidden="1">{"'18'!$A$5:$M$18"}</definedName>
    <definedName name="INT_PRES_2" localSheetId="10" hidden="1">{#N/A,#N/A,FALSE,"Full";#N/A,#N/A,FALSE,"Half";#N/A,#N/A,FALSE,"Op Expenses";#N/A,#N/A,FALSE,"Cap Charge";#N/A,#N/A,FALSE,"Cost C";#N/A,#N/A,FALSE,"PP&amp;E";#N/A,#N/A,FALSE,"R&amp;D"}</definedName>
    <definedName name="INT_PRES_2" hidden="1">{#N/A,#N/A,FALSE,"Full";#N/A,#N/A,FALSE,"Half";#N/A,#N/A,FALSE,"Op Expenses";#N/A,#N/A,FALSE,"Cap Charge";#N/A,#N/A,FALSE,"Cost C";#N/A,#N/A,FALSE,"PP&amp;E";#N/A,#N/A,FALSE,"R&amp;D"}</definedName>
    <definedName name="INTERESES" localSheetId="10" hidden="1">{#N/A,#N/A,FALSE,"Aging Summary";#N/A,#N/A,FALSE,"Ratio Analysis";#N/A,#N/A,FALSE,"Test 120 Day Accts";#N/A,#N/A,FALSE,"Tickmarks"}</definedName>
    <definedName name="INTERESES" hidden="1">{#N/A,#N/A,FALSE,"Aging Summary";#N/A,#N/A,FALSE,"Ratio Analysis";#N/A,#N/A,FALSE,"Test 120 Day Accts";#N/A,#N/A,FALSE,"Tickmarks"}</definedName>
    <definedName name="inven" localSheetId="9" hidden="1">{#N/A,#N/A,FALSE,"balance";#N/A,#N/A,FALSE,"PYG"}</definedName>
    <definedName name="inven" localSheetId="10" hidden="1">{#N/A,#N/A,FALSE,"balance";#N/A,#N/A,FALSE,"PYG"}</definedName>
    <definedName name="inven" hidden="1">{#N/A,#N/A,FALSE,"balance";#N/A,#N/A,FALSE,"PYG"}</definedName>
    <definedName name="Inven2" localSheetId="9" hidden="1">{#N/A,#N/A,FALSE,"balance";#N/A,#N/A,FALSE,"PYG"}</definedName>
    <definedName name="Inven2" localSheetId="10" hidden="1">{#N/A,#N/A,FALSE,"balance";#N/A,#N/A,FALSE,"PYG"}</definedName>
    <definedName name="Inven2" hidden="1">{#N/A,#N/A,FALSE,"balance";#N/A,#N/A,FALSE,"PYG"}</definedName>
    <definedName name="Inversion" localSheetId="10" hidden="1">{"EVA",#N/A,FALSE,"SMT2";#N/A,#N/A,FALSE,"Summary";#N/A,#N/A,FALSE,"Graphs";#N/A,#N/A,FALSE,"4 Panel"}</definedName>
    <definedName name="Inversion" hidden="1">{"EVA",#N/A,FALSE,"SMT2";#N/A,#N/A,FALSE,"Summary";#N/A,#N/A,FALSE,"Graphs";#N/A,#N/A,FALSE,"4 Panel"}</definedName>
    <definedName name="IOP" localSheetId="10" hidden="1">{#N/A,#N/A,FALSE,"Aging Summary";#N/A,#N/A,FALSE,"Ratio Analysis";#N/A,#N/A,FALSE,"Test 120 Day Accts";#N/A,#N/A,FALSE,"Tickmarks"}</definedName>
    <definedName name="IOP" hidden="1">{#N/A,#N/A,FALSE,"Aging Summary";#N/A,#N/A,FALSE,"Ratio Analysis";#N/A,#N/A,FALSE,"Test 120 Day Accts";#N/A,#N/A,FALSE,"Tickmarks"}</definedName>
    <definedName name="IsColHidden" hidden="1">FALSE</definedName>
    <definedName name="IsLTMColHidden" hidden="1">FALSE</definedName>
    <definedName name="jabalí" localSheetId="10" hidden="1">{#N/A,#N/A,FALSE,"Aging Summary";#N/A,#N/A,FALSE,"Ratio Analysis";#N/A,#N/A,FALSE,"Test 120 Day Accts";#N/A,#N/A,FALSE,"Tickmarks"}</definedName>
    <definedName name="jabalí" hidden="1">{#N/A,#N/A,FALSE,"Aging Summary";#N/A,#N/A,FALSE,"Ratio Analysis";#N/A,#N/A,FALSE,"Test 120 Day Accts";#N/A,#N/A,FALSE,"Tickmarks"}</definedName>
    <definedName name="jh" localSheetId="10" hidden="1">{#N/A,#N/A,FALSE,"Aging Summary";#N/A,#N/A,FALSE,"Ratio Analysis";#N/A,#N/A,FALSE,"Test 120 Day Accts";#N/A,#N/A,FALSE,"Tickmarks"}</definedName>
    <definedName name="jh" hidden="1">{#N/A,#N/A,FALSE,"Aging Summary";#N/A,#N/A,FALSE,"Ratio Analysis";#N/A,#N/A,FALSE,"Test 120 Day Accts";#N/A,#N/A,FALSE,"Tickmarks"}</definedName>
    <definedName name="JHON" localSheetId="10" hidden="1">{#N/A,#N/A,FALSE,"Aging Summary";#N/A,#N/A,FALSE,"Ratio Analysis";#N/A,#N/A,FALSE,"Test 120 Day Accts";#N/A,#N/A,FALSE,"Tickmarks"}</definedName>
    <definedName name="JHON" hidden="1">{#N/A,#N/A,FALSE,"Aging Summary";#N/A,#N/A,FALSE,"Ratio Analysis";#N/A,#N/A,FALSE,"Test 120 Day Accts";#N/A,#N/A,FALSE,"Tickmarks"}</definedName>
    <definedName name="jjkk" localSheetId="10" hidden="1">{#N/A,#N/A,FALSE,"Aging Summary";#N/A,#N/A,FALSE,"Ratio Analysis";#N/A,#N/A,FALSE,"Test 120 Day Accts";#N/A,#N/A,FALSE,"Tickmarks"}</definedName>
    <definedName name="jjkk" hidden="1">{#N/A,#N/A,FALSE,"Aging Summary";#N/A,#N/A,FALSE,"Ratio Analysis";#N/A,#N/A,FALSE,"Test 120 Day Accts";#N/A,#N/A,FALSE,"Tickmarks"}</definedName>
    <definedName name="JKLÑ" localSheetId="10" hidden="1">{#N/A,#N/A,FALSE,"Aging Summary";#N/A,#N/A,FALSE,"Ratio Analysis";#N/A,#N/A,FALSE,"Test 120 Day Accts";#N/A,#N/A,FALSE,"Tickmarks"}</definedName>
    <definedName name="JKLÑ" hidden="1">{#N/A,#N/A,FALSE,"Aging Summary";#N/A,#N/A,FALSE,"Ratio Analysis";#N/A,#N/A,FALSE,"Test 120 Day Accts";#N/A,#N/A,FALSE,"Tickmarks"}</definedName>
    <definedName name="K" localSheetId="10" hidden="1">{"PYGT",#N/A,FALSE,"PYG";"ACTIT",#N/A,FALSE,"BCE_GRAL-ACTIVO";"PASIT",#N/A,FALSE,"BCE_GRAL-PASIVO-PATRIM";"CAJAT",#N/A,FALSE,"CAJA"}</definedName>
    <definedName name="K" hidden="1">{"PYGT",#N/A,FALSE,"PYG";"ACTIT",#N/A,FALSE,"BCE_GRAL-ACTIVO";"PASIT",#N/A,FALSE,"BCE_GRAL-PASIVO-PATRIM";"CAJAT",#N/A,FALSE,"CAJA"}</definedName>
    <definedName name="kbv" localSheetId="10" hidden="1">{#N/A,#N/A,FALSE,"Aging Summary";#N/A,#N/A,FALSE,"Ratio Analysis";#N/A,#N/A,FALSE,"Test 120 Day Accts";#N/A,#N/A,FALSE,"Tickmarks"}</definedName>
    <definedName name="kbv" hidden="1">{#N/A,#N/A,FALSE,"Aging Summary";#N/A,#N/A,FALSE,"Ratio Analysis";#N/A,#N/A,FALSE,"Test 120 Day Accts";#N/A,#N/A,FALSE,"Tickmarks"}</definedName>
    <definedName name="KENELMA" localSheetId="10" hidden="1">{#N/A,#N/A,FALSE,"Aging Summary";#N/A,#N/A,FALSE,"Ratio Analysis";#N/A,#N/A,FALSE,"Test 120 Day Accts";#N/A,#N/A,FALSE,"Tickmarks"}</definedName>
    <definedName name="KENELMA" hidden="1">{#N/A,#N/A,FALSE,"Aging Summary";#N/A,#N/A,FALSE,"Ratio Analysis";#N/A,#N/A,FALSE,"Test 120 Day Accts";#N/A,#N/A,FALSE,"Tickmarks"}</definedName>
    <definedName name="KJ" localSheetId="10" hidden="1">{#N/A,#N/A,FALSE,"Aging Summary";#N/A,#N/A,FALSE,"Ratio Analysis";#N/A,#N/A,FALSE,"Test 120 Day Accts";#N/A,#N/A,FALSE,"Tickmarks"}</definedName>
    <definedName name="KJ" hidden="1">{#N/A,#N/A,FALSE,"Aging Summary";#N/A,#N/A,FALSE,"Ratio Analysis";#N/A,#N/A,FALSE,"Test 120 Day Accts";#N/A,#N/A,FALSE,"Tickmarks"}</definedName>
    <definedName name="KK" localSheetId="10" hidden="1">{#N/A,#N/A,FALSE,"Aging Summary";#N/A,#N/A,FALSE,"Ratio Analysis";#N/A,#N/A,FALSE,"Test 120 Day Accts";#N/A,#N/A,FALSE,"Tickmarks"}</definedName>
    <definedName name="KK" hidden="1">{#N/A,#N/A,FALSE,"Aging Summary";#N/A,#N/A,FALSE,"Ratio Analysis";#N/A,#N/A,FALSE,"Test 120 Day Accts";#N/A,#N/A,FALSE,"Tickmarks"}</definedName>
    <definedName name="kkkkkkkkkkkkkkk" localSheetId="10" hidden="1">{"PYGT",#N/A,FALSE,"PYG";"ACTIT",#N/A,FALSE,"BCE_GRAL-ACTIVO";"PASIT",#N/A,FALSE,"BCE_GRAL-PASIVO-PATRIM";"CAJAT",#N/A,FALSE,"CAJA"}</definedName>
    <definedName name="kkkkkkkkkkkkkkk" hidden="1">{"PYGT",#N/A,FALSE,"PYG";"ACTIT",#N/A,FALSE,"BCE_GRAL-ACTIVO";"PASIT",#N/A,FALSE,"BCE_GRAL-PASIVO-PATRIM";"CAJAT",#N/A,FALSE,"CAJA"}</definedName>
    <definedName name="kklñp" localSheetId="10" hidden="1">{#N/A,#N/A,FALSE,"Aging Summary";#N/A,#N/A,FALSE,"Ratio Analysis";#N/A,#N/A,FALSE,"Test 120 Day Accts";#N/A,#N/A,FALSE,"Tickmarks"}</definedName>
    <definedName name="kklñp" hidden="1">{#N/A,#N/A,FALSE,"Aging Summary";#N/A,#N/A,FALSE,"Ratio Analysis";#N/A,#N/A,FALSE,"Test 120 Day Accts";#N/A,#N/A,FALSE,"Tickmarks"}</definedName>
    <definedName name="KL" localSheetId="10" hidden="1">{"PYGS",#N/A,FALSE,"PYG";"ACTIS",#N/A,FALSE,"BCE_GRAL-ACTIVO";"PASIS",#N/A,FALSE,"BCE_GRAL-PASIVO-PATRIM";"CAJAS",#N/A,FALSE,"CAJA"}</definedName>
    <definedName name="KL" hidden="1">{"PYGS",#N/A,FALSE,"PYG";"ACTIS",#N/A,FALSE,"BCE_GRAL-ACTIVO";"PASIS",#N/A,FALSE,"BCE_GRAL-PASIVO-PATRIM";"CAJAS",#N/A,FALSE,"CAJA"}</definedName>
    <definedName name="LDC" localSheetId="10" hidden="1">{#N/A,#N/A,FALSE,"Aging Summary";#N/A,#N/A,FALSE,"Ratio Analysis";#N/A,#N/A,FALSE,"Test 120 Day Accts";#N/A,#N/A,FALSE,"Tickmarks"}</definedName>
    <definedName name="LDC" hidden="1">{#N/A,#N/A,FALSE,"Aging Summary";#N/A,#N/A,FALSE,"Ratio Analysis";#N/A,#N/A,FALSE,"Test 120 Day Accts";#N/A,#N/A,FALSE,"Tickmarks"}</definedName>
    <definedName name="ListOffset" hidden="1">1</definedName>
    <definedName name="LKÑ" localSheetId="10" hidden="1">{#N/A,#N/A,FALSE,"Aging Summary";#N/A,#N/A,FALSE,"Ratio Analysis";#N/A,#N/A,FALSE,"Test 120 Day Accts";#N/A,#N/A,FALSE,"Tickmarks"}</definedName>
    <definedName name="LKÑ" hidden="1">{#N/A,#N/A,FALSE,"Aging Summary";#N/A,#N/A,FALSE,"Ratio Analysis";#N/A,#N/A,FALSE,"Test 120 Day Accts";#N/A,#N/A,FALSE,"Tickmarks"}</definedName>
    <definedName name="ll" localSheetId="10" hidden="1">{#N/A,#N/A,FALSE,"Aging Summary";#N/A,#N/A,FALSE,"Ratio Analysis";#N/A,#N/A,FALSE,"Test 120 Day Accts";#N/A,#N/A,FALSE,"Tickmarks"}</definedName>
    <definedName name="ll" hidden="1">{#N/A,#N/A,FALSE,"Aging Summary";#N/A,#N/A,FALSE,"Ratio Analysis";#N/A,#N/A,FALSE,"Test 120 Day Accts";#N/A,#N/A,FALSE,"Tickmarks"}</definedName>
    <definedName name="LM" localSheetId="10" hidden="1">{#N/A,#N/A,FALSE,"Aging Summary";#N/A,#N/A,FALSE,"Ratio Analysis";#N/A,#N/A,FALSE,"Test 120 Day Accts";#N/A,#N/A,FALSE,"Tickmarks"}</definedName>
    <definedName name="LM" hidden="1">{#N/A,#N/A,FALSE,"Aging Summary";#N/A,#N/A,FALSE,"Ratio Analysis";#N/A,#N/A,FALSE,"Test 120 Day Accts";#N/A,#N/A,FALSE,"Tickmarks"}</definedName>
    <definedName name="m" localSheetId="10" hidden="1">{#N/A,#N/A,FALSE,"GRAFICO";#N/A,#N/A,FALSE,"CAJA (2)";#N/A,#N/A,FALSE,"TERCEROS-PROMEDIO";#N/A,#N/A,FALSE,"CAJA";#N/A,#N/A,FALSE,"INGRESOS1995-2003";#N/A,#N/A,FALSE,"GASTOS1995-2003"}</definedName>
    <definedName name="m" hidden="1">{#N/A,#N/A,FALSE,"GRAFICO";#N/A,#N/A,FALSE,"CAJA (2)";#N/A,#N/A,FALSE,"TERCEROS-PROMEDIO";#N/A,#N/A,FALSE,"CAJA";#N/A,#N/A,FALSE,"INGRESOS1995-2003";#N/A,#N/A,FALSE,"GASTOS1995-2003"}</definedName>
    <definedName name="magd" localSheetId="10" hidden="1">{#N/A,#N/A,FALSE,"GRAFICO";#N/A,#N/A,FALSE,"CAJA (2)";#N/A,#N/A,FALSE,"TERCEROS-PROMEDIO";#N/A,#N/A,FALSE,"CAJA";#N/A,#N/A,FALSE,"INGRESOS1995-2003";#N/A,#N/A,FALSE,"GASTOS1995-2003"}</definedName>
    <definedName name="magd" hidden="1">{#N/A,#N/A,FALSE,"GRAFICO";#N/A,#N/A,FALSE,"CAJA (2)";#N/A,#N/A,FALSE,"TERCEROS-PROMEDIO";#N/A,#N/A,FALSE,"CAJA";#N/A,#N/A,FALSE,"INGRESOS1995-2003";#N/A,#N/A,FALSE,"GASTOS1995-2003"}</definedName>
    <definedName name="mario" localSheetId="9" hidden="1">{#N/A,#N/A,FALSE,"Aging Summary";#N/A,#N/A,FALSE,"Ratio Analysis";#N/A,#N/A,FALSE,"Test 120 Day Accts";#N/A,#N/A,FALSE,"Tickmarks"}</definedName>
    <definedName name="mario" localSheetId="10" hidden="1">{#N/A,#N/A,FALSE,"Aging Summary";#N/A,#N/A,FALSE,"Ratio Analysis";#N/A,#N/A,FALSE,"Test 120 Day Accts";#N/A,#N/A,FALSE,"Tickmarks"}</definedName>
    <definedName name="mario" hidden="1">{#N/A,#N/A,FALSE,"Aging Summary";#N/A,#N/A,FALSE,"Ratio Analysis";#N/A,#N/A,FALSE,"Test 120 Day Accts";#N/A,#N/A,FALSE,"Tickmarks"}</definedName>
    <definedName name="MarkP" localSheetId="10" hidden="1">{#N/A,#N/A,FALSE,"GRAFICO";#N/A,#N/A,FALSE,"CAJA (2)";#N/A,#N/A,FALSE,"TERCEROS-PROMEDIO";#N/A,#N/A,FALSE,"CAJA";#N/A,#N/A,FALSE,"INGRESOS1995-2003";#N/A,#N/A,FALSE,"GASTOS1995-2003"}</definedName>
    <definedName name="MarkP" hidden="1">{#N/A,#N/A,FALSE,"GRAFICO";#N/A,#N/A,FALSE,"CAJA (2)";#N/A,#N/A,FALSE,"TERCEROS-PROMEDIO";#N/A,#N/A,FALSE,"CAJA";#N/A,#N/A,FALSE,"INGRESOS1995-2003";#N/A,#N/A,FALSE,"GASTOS1995-2003"}</definedName>
    <definedName name="marmol" localSheetId="10" hidden="1">{"PYGT",#N/A,FALSE,"PYG";"ACTIT",#N/A,FALSE,"BCE_GRAL-ACTIVO";"PASIT",#N/A,FALSE,"BCE_GRAL-PASIVO-PATRIM";"CAJAT",#N/A,FALSE,"CAJA"}</definedName>
    <definedName name="marmol" hidden="1">{"PYGT",#N/A,FALSE,"PYG";"ACTIT",#N/A,FALSE,"BCE_GRAL-ACTIVO";"PASIT",#N/A,FALSE,"BCE_GRAL-PASIVO-PATRIM";"CAJAT",#N/A,FALSE,"CAJA"}</definedName>
    <definedName name="Merck" localSheetId="10" hidden="1">{"'18'!$A$5:$M$18"}</definedName>
    <definedName name="Merck" hidden="1">{"'18'!$A$5:$M$18"}</definedName>
    <definedName name="mercurio" localSheetId="10" hidden="1">{#N/A,#N/A,FALSE,"Aging Summary";#N/A,#N/A,FALSE,"Ratio Analysis";#N/A,#N/A,FALSE,"Test 120 Day Accts";#N/A,#N/A,FALSE,"Tickmarks"}</definedName>
    <definedName name="mercurio" hidden="1">{#N/A,#N/A,FALSE,"Aging Summary";#N/A,#N/A,FALSE,"Ratio Analysis";#N/A,#N/A,FALSE,"Test 120 Day Accts";#N/A,#N/A,FALSE,"Tickmarks"}</definedName>
    <definedName name="mismo" localSheetId="10" hidden="1">{#N/A,#N/A,FALSE,"GRAFICO";#N/A,#N/A,FALSE,"CAJA (2)";#N/A,#N/A,FALSE,"TERCEROS-PROMEDIO";#N/A,#N/A,FALSE,"CAJA";#N/A,#N/A,FALSE,"INGRESOS1995-2003";#N/A,#N/A,FALSE,"GASTOS1995-2003"}</definedName>
    <definedName name="mismo" hidden="1">{#N/A,#N/A,FALSE,"GRAFICO";#N/A,#N/A,FALSE,"CAJA (2)";#N/A,#N/A,FALSE,"TERCEROS-PROMEDIO";#N/A,#N/A,FALSE,"CAJA";#N/A,#N/A,FALSE,"INGRESOS1995-2003";#N/A,#N/A,FALSE,"GASTOS1995-2003"}</definedName>
    <definedName name="MMMM" localSheetId="10" hidden="1">{#N/A,#N/A,FALSE,"GRAFICO";#N/A,#N/A,FALSE,"CAJA (2)";#N/A,#N/A,FALSE,"TERCEROS-PROMEDIO";#N/A,#N/A,FALSE,"CAJA";#N/A,#N/A,FALSE,"INGRESOS1995-2003";#N/A,#N/A,FALSE,"GASTOS1995-2003"}</definedName>
    <definedName name="MMMM" hidden="1">{#N/A,#N/A,FALSE,"GRAFICO";#N/A,#N/A,FALSE,"CAJA (2)";#N/A,#N/A,FALSE,"TERCEROS-PROMEDIO";#N/A,#N/A,FALSE,"CAJA";#N/A,#N/A,FALSE,"INGRESOS1995-2003";#N/A,#N/A,FALSE,"GASTOS1995-2003"}</definedName>
    <definedName name="MMMMM" localSheetId="10" hidden="1">{"PYGT",#N/A,FALSE,"PYG";"ACTIT",#N/A,FALSE,"BCE_GRAL-ACTIVO";"PASIT",#N/A,FALSE,"BCE_GRAL-PASIVO-PATRIM";"CAJAT",#N/A,FALSE,"CAJA"}</definedName>
    <definedName name="MMMMM" hidden="1">{"PYGT",#N/A,FALSE,"PYG";"ACTIT",#N/A,FALSE,"BCE_GRAL-ACTIVO";"PASIT",#N/A,FALSE,"BCE_GRAL-PASIVO-PATRIM";"CAJAT",#N/A,FALSE,"CAJA"}</definedName>
    <definedName name="mmmmmmmmmm" localSheetId="10" hidden="1">{"PYGT",#N/A,FALSE,"PYG";"ACTIT",#N/A,FALSE,"BCE_GRAL-ACTIVO";"PASIT",#N/A,FALSE,"BCE_GRAL-PASIVO-PATRIM";"CAJAT",#N/A,FALSE,"CAJA"}</definedName>
    <definedName name="mmmmmmmmmm" hidden="1">{"PYGT",#N/A,FALSE,"PYG";"ACTIT",#N/A,FALSE,"BCE_GRAL-ACTIVO";"PASIT",#N/A,FALSE,"BCE_GRAL-PASIVO-PATRIM";"CAJAT",#N/A,FALSE,"CAJA"}</definedName>
    <definedName name="mmmmmmmmmmmmm" localSheetId="10" hidden="1">{#N/A,#N/A,FALSE,"GRAFICO";#N/A,#N/A,FALSE,"CAJA (2)";#N/A,#N/A,FALSE,"TERCEROS-PROMEDIO";#N/A,#N/A,FALSE,"CAJA";#N/A,#N/A,FALSE,"INGRESOS1995-2003";#N/A,#N/A,FALSE,"GASTOS1995-2003"}</definedName>
    <definedName name="mmmmmmmmmmmmm" hidden="1">{#N/A,#N/A,FALSE,"GRAFICO";#N/A,#N/A,FALSE,"CAJA (2)";#N/A,#N/A,FALSE,"TERCEROS-PROMEDIO";#N/A,#N/A,FALSE,"CAJA";#N/A,#N/A,FALSE,"INGRESOS1995-2003";#N/A,#N/A,FALSE,"GASTOS1995-2003"}</definedName>
    <definedName name="MN" localSheetId="10" hidden="1">{#N/A,#N/A,FALSE,"Aging Summary";#N/A,#N/A,FALSE,"Ratio Analysis";#N/A,#N/A,FALSE,"Test 120 Day Accts";#N/A,#N/A,FALSE,"Tickmarks"}</definedName>
    <definedName name="MN" hidden="1">{#N/A,#N/A,FALSE,"Aging Summary";#N/A,#N/A,FALSE,"Ratio Analysis";#N/A,#N/A,FALSE,"Test 120 Day Accts";#N/A,#N/A,FALSE,"Tickmarks"}</definedName>
    <definedName name="morado" localSheetId="10" hidden="1">{#N/A,#N/A,FALSE,"Aging Summary";#N/A,#N/A,FALSE,"Ratio Analysis";#N/A,#N/A,FALSE,"Test 120 Day Accts";#N/A,#N/A,FALSE,"Tickmarks"}</definedName>
    <definedName name="morado" hidden="1">{#N/A,#N/A,FALSE,"Aging Summary";#N/A,#N/A,FALSE,"Ratio Analysis";#N/A,#N/A,FALSE,"Test 120 Day Accts";#N/A,#N/A,FALSE,"Tickmarks"}</definedName>
    <definedName name="NARJ" localSheetId="10" hidden="1">{#N/A,#N/A,FALSE,"Aging Summary";#N/A,#N/A,FALSE,"Ratio Analysis";#N/A,#N/A,FALSE,"Test 120 Day Accts";#N/A,#N/A,FALSE,"Tickmarks"}</definedName>
    <definedName name="NARJ" hidden="1">{#N/A,#N/A,FALSE,"Aging Summary";#N/A,#N/A,FALSE,"Ratio Analysis";#N/A,#N/A,FALSE,"Test 120 Day Accts";#N/A,#N/A,FALSE,"Tickmarks"}</definedName>
    <definedName name="new" localSheetId="10" hidden="1">{"EVA",#N/A,FALSE,"SMT2";#N/A,#N/A,FALSE,"Summary";#N/A,#N/A,FALSE,"Graphs";#N/A,#N/A,FALSE,"4 Panel"}</definedName>
    <definedName name="new" hidden="1">{"EVA",#N/A,FALSE,"SMT2";#N/A,#N/A,FALSE,"Summary";#N/A,#N/A,FALSE,"Graphs";#N/A,#N/A,FALSE,"4 Panel"}</definedName>
    <definedName name="ni" localSheetId="10" hidden="1">{#N/A,#N/A,FALSE,"GRAFICO";#N/A,#N/A,FALSE,"CAJA (2)";#N/A,#N/A,FALSE,"TERCEROS-PROMEDIO";#N/A,#N/A,FALSE,"CAJA";#N/A,#N/A,FALSE,"INGRESOS1995-2003";#N/A,#N/A,FALSE,"GASTOS1995-2003"}</definedName>
    <definedName name="ni" hidden="1">{#N/A,#N/A,FALSE,"GRAFICO";#N/A,#N/A,FALSE,"CAJA (2)";#N/A,#N/A,FALSE,"TERCEROS-PROMEDIO";#N/A,#N/A,FALSE,"CAJA";#N/A,#N/A,FALSE,"INGRESOS1995-2003";#N/A,#N/A,FALSE,"GASTOS1995-2003"}</definedName>
    <definedName name="NNN" localSheetId="10" hidden="1">{"PYGS",#N/A,FALSE,"PYG";"ACTIS",#N/A,FALSE,"BCE_GRAL-ACTIVO";"PASIS",#N/A,FALSE,"BCE_GRAL-PASIVO-PATRIM";"CAJAS",#N/A,FALSE,"CAJA"}</definedName>
    <definedName name="NNN" hidden="1">{"PYGS",#N/A,FALSE,"PYG";"ACTIS",#N/A,FALSE,"BCE_GRAL-ACTIVO";"PASIS",#N/A,FALSE,"BCE_GRAL-PASIVO-PATRIM";"CAJAS",#N/A,FALSE,"CAJA"}</definedName>
    <definedName name="NNNN" localSheetId="10" hidden="1">{"PYGT",#N/A,FALSE,"PYG";"ACTIT",#N/A,FALSE,"BCE_GRAL-ACTIVO";"PASIT",#N/A,FALSE,"BCE_GRAL-PASIVO-PATRIM";"CAJAT",#N/A,FALSE,"CAJA"}</definedName>
    <definedName name="NNNN" hidden="1">{"PYGT",#N/A,FALSE,"PYG";"ACTIT",#N/A,FALSE,"BCE_GRAL-ACTIVO";"PASIT",#N/A,FALSE,"BCE_GRAL-PASIVO-PATRIM";"CAJAT",#N/A,FALSE,"CAJA"}</definedName>
    <definedName name="NNNNN" localSheetId="10" hidden="1">{"PYGT",#N/A,FALSE,"PYG";"ACTIT",#N/A,FALSE,"BCE_GRAL-ACTIVO";"PASIT",#N/A,FALSE,"BCE_GRAL-PASIVO-PATRIM";"CAJAT",#N/A,FALSE,"CAJA"}</definedName>
    <definedName name="NNNNN" hidden="1">{"PYGT",#N/A,FALSE,"PYG";"ACTIT",#N/A,FALSE,"BCE_GRAL-ACTIVO";"PASIT",#N/A,FALSE,"BCE_GRAL-PASIVO-PATRIM";"CAJAT",#N/A,FALSE,"CAJA"}</definedName>
    <definedName name="NO" localSheetId="10" hidden="1">{"PYGT",#N/A,FALSE,"PYG";"ACTIT",#N/A,FALSE,"BCE_GRAL-ACTIVO";"PASIT",#N/A,FALSE,"BCE_GRAL-PASIVO-PATRIM";"CAJAT",#N/A,FALSE,"CAJA"}</definedName>
    <definedName name="NO" hidden="1">{"PYGT",#N/A,FALSE,"PYG";"ACTIT",#N/A,FALSE,"BCE_GRAL-ACTIVO";"PASIT",#N/A,FALSE,"BCE_GRAL-PASIVO-PATRIM";"CAJAT",#N/A,FALSE,"CAJA"}</definedName>
    <definedName name="noam" localSheetId="10" hidden="1">{#N/A,#N/A,FALSE,"Aging Summary";#N/A,#N/A,FALSE,"Ratio Analysis";#N/A,#N/A,FALSE,"Test 120 Day Accts";#N/A,#N/A,FALSE,"Tickmarks"}</definedName>
    <definedName name="noam" hidden="1">{#N/A,#N/A,FALSE,"Aging Summary";#N/A,#N/A,FALSE,"Ratio Analysis";#N/A,#N/A,FALSE,"Test 120 Day Accts";#N/A,#N/A,FALSE,"Tickmarks"}</definedName>
    <definedName name="NóminaConfidencial" localSheetId="10" hidden="1">{#N/A,#N/A,FALSE,"Aging Summary";#N/A,#N/A,FALSE,"Ratio Analysis";#N/A,#N/A,FALSE,"Test 120 Day Accts";#N/A,#N/A,FALSE,"Tickmarks"}</definedName>
    <definedName name="NóminaConfidencial" hidden="1">{#N/A,#N/A,FALSE,"Aging Summary";#N/A,#N/A,FALSE,"Ratio Analysis";#N/A,#N/A,FALSE,"Test 120 Day Accts";#N/A,#N/A,FALSE,"Tickmarks"}</definedName>
    <definedName name="NOVIEMBRE">#REF!</definedName>
    <definedName name="NTA" localSheetId="10" hidden="1">{#N/A,#N/A,FALSE,"Aging Summary";#N/A,#N/A,FALSE,"Ratio Analysis";#N/A,#N/A,FALSE,"Test 120 Day Accts";#N/A,#N/A,FALSE,"Tickmarks"}</definedName>
    <definedName name="NTA" hidden="1">{#N/A,#N/A,FALSE,"Aging Summary";#N/A,#N/A,FALSE,"Ratio Analysis";#N/A,#N/A,FALSE,"Test 120 Day Accts";#N/A,#N/A,FALSE,"Tickmarks"}</definedName>
    <definedName name="ÑAME" localSheetId="10" hidden="1">{#N/A,#N/A,FALSE,"Aging Summary";#N/A,#N/A,FALSE,"Ratio Analysis";#N/A,#N/A,FALSE,"Test 120 Day Accts";#N/A,#N/A,FALSE,"Tickmarks"}</definedName>
    <definedName name="ÑAME" hidden="1">{#N/A,#N/A,FALSE,"Aging Summary";#N/A,#N/A,FALSE,"Ratio Analysis";#N/A,#N/A,FALSE,"Test 120 Day Accts";#N/A,#N/A,FALSE,"Tickmarks"}</definedName>
    <definedName name="ñl" localSheetId="10" hidden="1">{#N/A,#N/A,FALSE,"Aging Summary";#N/A,#N/A,FALSE,"Ratio Analysis";#N/A,#N/A,FALSE,"Test 120 Day Accts";#N/A,#N/A,FALSE,"Tickmarks"}</definedName>
    <definedName name="ñl" hidden="1">{#N/A,#N/A,FALSE,"Aging Summary";#N/A,#N/A,FALSE,"Ratio Analysis";#N/A,#N/A,FALSE,"Test 120 Day Accts";#N/A,#N/A,FALSE,"Tickmarks"}</definedName>
    <definedName name="ÑLK" localSheetId="10" hidden="1">{#N/A,#N/A,FALSE,"Aging Summary";#N/A,#N/A,FALSE,"Ratio Analysis";#N/A,#N/A,FALSE,"Test 120 Day Accts";#N/A,#N/A,FALSE,"Tickmarks"}</definedName>
    <definedName name="ÑLK" hidden="1">{#N/A,#N/A,FALSE,"Aging Summary";#N/A,#N/A,FALSE,"Ratio Analysis";#N/A,#N/A,FALSE,"Test 120 Day Accts";#N/A,#N/A,FALSE,"Tickmarks"}</definedName>
    <definedName name="ÑLOOPP" localSheetId="10" hidden="1">{#N/A,#N/A,FALSE,"Aging Summary";#N/A,#N/A,FALSE,"Ratio Analysis";#N/A,#N/A,FALSE,"Test 120 Day Accts";#N/A,#N/A,FALSE,"Tickmarks"}</definedName>
    <definedName name="ÑLOOPP" hidden="1">{#N/A,#N/A,FALSE,"Aging Summary";#N/A,#N/A,FALSE,"Ratio Analysis";#N/A,#N/A,FALSE,"Test 120 Day Accts";#N/A,#N/A,FALSE,"Tickmarks"}</definedName>
    <definedName name="ÑOÑO" localSheetId="10" hidden="1">{#N/A,#N/A,FALSE,"Aging Summary";#N/A,#N/A,FALSE,"Ratio Analysis";#N/A,#N/A,FALSE,"Test 120 Day Accts";#N/A,#N/A,FALSE,"Tickmarks"}</definedName>
    <definedName name="ÑOÑO" hidden="1">{#N/A,#N/A,FALSE,"Aging Summary";#N/A,#N/A,FALSE,"Ratio Analysis";#N/A,#N/A,FALSE,"Test 120 Day Accts";#N/A,#N/A,FALSE,"Tickmarks"}</definedName>
    <definedName name="ñpl" localSheetId="10" hidden="1">{#N/A,#N/A,FALSE,"Aging Summary";#N/A,#N/A,FALSE,"Ratio Analysis";#N/A,#N/A,FALSE,"Test 120 Day Accts";#N/A,#N/A,FALSE,"Tickmarks"}</definedName>
    <definedName name="ñpl" hidden="1">{#N/A,#N/A,FALSE,"Aging Summary";#N/A,#N/A,FALSE,"Ratio Analysis";#N/A,#N/A,FALSE,"Test 120 Day Accts";#N/A,#N/A,FALSE,"Tickmarks"}</definedName>
    <definedName name="OCT" localSheetId="9" hidden="1">{#N/A,#N/A,FALSE,"BL&amp;GPA";#N/A,#N/A,FALSE,"Summary";#N/A,#N/A,FALSE,"hts"}</definedName>
    <definedName name="OCT" localSheetId="10" hidden="1">{#N/A,#N/A,FALSE,"BL&amp;GPA";#N/A,#N/A,FALSE,"Summary";#N/A,#N/A,FALSE,"hts"}</definedName>
    <definedName name="OCT" hidden="1">{#N/A,#N/A,FALSE,"BL&amp;GPA";#N/A,#N/A,FALSE,"Summary";#N/A,#N/A,FALSE,"hts"}</definedName>
    <definedName name="oera" localSheetId="10" hidden="1">{#N/A,#N/A,FALSE,"Aging Summary";#N/A,#N/A,FALSE,"Ratio Analysis";#N/A,#N/A,FALSE,"Test 120 Day Accts";#N/A,#N/A,FALSE,"Tickmarks"}</definedName>
    <definedName name="oera" hidden="1">{#N/A,#N/A,FALSE,"Aging Summary";#N/A,#N/A,FALSE,"Ratio Analysis";#N/A,#N/A,FALSE,"Test 120 Day Accts";#N/A,#N/A,FALSE,"Tickmarks"}</definedName>
    <definedName name="OGRAD" localSheetId="10" hidden="1">{#N/A,#N/A,FALSE,"Aging Summary";#N/A,#N/A,FALSE,"Ratio Analysis";#N/A,#N/A,FALSE,"Test 120 Day Accts";#N/A,#N/A,FALSE,"Tickmarks"}</definedName>
    <definedName name="OGRAD" hidden="1">{#N/A,#N/A,FALSE,"Aging Summary";#N/A,#N/A,FALSE,"Ratio Analysis";#N/A,#N/A,FALSE,"Test 120 Day Accts";#N/A,#N/A,FALSE,"Tickmarks"}</definedName>
    <definedName name="ojal" localSheetId="10" hidden="1">{#N/A,#N/A,FALSE,"Aging Summary";#N/A,#N/A,FALSE,"Ratio Analysis";#N/A,#N/A,FALSE,"Test 120 Day Accts";#N/A,#N/A,FALSE,"Tickmarks"}</definedName>
    <definedName name="ojal" hidden="1">{#N/A,#N/A,FALSE,"Aging Summary";#N/A,#N/A,FALSE,"Ratio Analysis";#N/A,#N/A,FALSE,"Test 120 Day Accts";#N/A,#N/A,FALSE,"Tickmarks"}</definedName>
    <definedName name="ok" localSheetId="9" hidden="1">{#N/A,#N/A,FALSE,"balance";#N/A,#N/A,FALSE,"PYG"}</definedName>
    <definedName name="ok" localSheetId="10" hidden="1">{#N/A,#N/A,FALSE,"balance";#N/A,#N/A,FALSE,"PYG"}</definedName>
    <definedName name="ok" hidden="1">{#N/A,#N/A,FALSE,"balance";#N/A,#N/A,FALSE,"PYG"}</definedName>
    <definedName name="OLOCASUTO" localSheetId="9" hidden="1">{#N/A,#N/A,FALSE,"balance";#N/A,#N/A,FALSE,"PYG"}</definedName>
    <definedName name="OLOCASUTO" localSheetId="10" hidden="1">{#N/A,#N/A,FALSE,"balance";#N/A,#N/A,FALSE,"PYG"}</definedName>
    <definedName name="OLOCASUTO" hidden="1">{#N/A,#N/A,FALSE,"balance";#N/A,#N/A,FALSE,"PYG"}</definedName>
    <definedName name="onven" localSheetId="9" hidden="1">{#N/A,#N/A,FALSE,"balance";#N/A,#N/A,FALSE,"PYG"}</definedName>
    <definedName name="onven" localSheetId="10" hidden="1">{#N/A,#N/A,FALSE,"balance";#N/A,#N/A,FALSE,"PYG"}</definedName>
    <definedName name="onven" hidden="1">{#N/A,#N/A,FALSE,"balance";#N/A,#N/A,FALSE,"PYG"}</definedName>
    <definedName name="OOO" localSheetId="10" hidden="1">{#N/A,#N/A,FALSE,"Aging Summary";#N/A,#N/A,FALSE,"Ratio Analysis";#N/A,#N/A,FALSE,"Test 120 Day Accts";#N/A,#N/A,FALSE,"Tickmarks"}</definedName>
    <definedName name="OOO" hidden="1">{#N/A,#N/A,FALSE,"Aging Summary";#N/A,#N/A,FALSE,"Ratio Analysis";#N/A,#N/A,FALSE,"Test 120 Day Accts";#N/A,#N/A,FALSE,"Tickmarks"}</definedName>
    <definedName name="operty" localSheetId="10" hidden="1">{#N/A,#N/A,FALSE,"Aging Summary";#N/A,#N/A,FALSE,"Ratio Analysis";#N/A,#N/A,FALSE,"Test 120 Day Accts";#N/A,#N/A,FALSE,"Tickmarks"}</definedName>
    <definedName name="operty" hidden="1">{#N/A,#N/A,FALSE,"Aging Summary";#N/A,#N/A,FALSE,"Ratio Analysis";#N/A,#N/A,FALSE,"Test 120 Day Accts";#N/A,#N/A,FALSE,"Tickmarks"}</definedName>
    <definedName name="oso" localSheetId="10" hidden="1">{#N/A,#N/A,FALSE,"Aging Summary";#N/A,#N/A,FALSE,"Ratio Analysis";#N/A,#N/A,FALSE,"Test 120 Day Accts";#N/A,#N/A,FALSE,"Tickmarks"}</definedName>
    <definedName name="oso" hidden="1">{#N/A,#N/A,FALSE,"Aging Summary";#N/A,#N/A,FALSE,"Ratio Analysis";#N/A,#N/A,FALSE,"Test 120 Day Accts";#N/A,#N/A,FALSE,"Tickmarks"}</definedName>
    <definedName name="PABN" localSheetId="10" hidden="1">{#N/A,#N/A,FALSE,"Aging Summary";#N/A,#N/A,FALSE,"Ratio Analysis";#N/A,#N/A,FALSE,"Test 120 Day Accts";#N/A,#N/A,FALSE,"Tickmarks"}</definedName>
    <definedName name="PABN" hidden="1">{#N/A,#N/A,FALSE,"Aging Summary";#N/A,#N/A,FALSE,"Ratio Analysis";#N/A,#N/A,FALSE,"Test 120 Day Accts";#N/A,#N/A,FALSE,"Tickmarks"}</definedName>
    <definedName name="PALENCIA" localSheetId="10" hidden="1">{#N/A,#N/A,FALSE,"Aging Summary";#N/A,#N/A,FALSE,"Ratio Analysis";#N/A,#N/A,FALSE,"Test 120 Day Accts";#N/A,#N/A,FALSE,"Tickmarks"}</definedName>
    <definedName name="PALENCIA" hidden="1">{#N/A,#N/A,FALSE,"Aging Summary";#N/A,#N/A,FALSE,"Ratio Analysis";#N/A,#N/A,FALSE,"Test 120 Day Accts";#N/A,#N/A,FALSE,"Tickmarks"}</definedName>
    <definedName name="PALTO" localSheetId="10" hidden="1">{#N/A,#N/A,FALSE,"Aging Summary";#N/A,#N/A,FALSE,"Ratio Analysis";#N/A,#N/A,FALSE,"Test 120 Day Accts";#N/A,#N/A,FALSE,"Tickmarks"}</definedName>
    <definedName name="PALTO" hidden="1">{#N/A,#N/A,FALSE,"Aging Summary";#N/A,#N/A,FALSE,"Ratio Analysis";#N/A,#N/A,FALSE,"Test 120 Day Accts";#N/A,#N/A,FALSE,"Tickmarks"}</definedName>
    <definedName name="parce" localSheetId="10" hidden="1">{#N/A,#N/A,FALSE,"Aging Summary";#N/A,#N/A,FALSE,"Ratio Analysis";#N/A,#N/A,FALSE,"Test 120 Day Accts";#N/A,#N/A,FALSE,"Tickmarks"}</definedName>
    <definedName name="parce" hidden="1">{#N/A,#N/A,FALSE,"Aging Summary";#N/A,#N/A,FALSE,"Ratio Analysis";#N/A,#N/A,FALSE,"Test 120 Day Accts";#N/A,#N/A,FALSE,"Tickmarks"}</definedName>
    <definedName name="parra" localSheetId="10" hidden="1">{#N/A,#N/A,FALSE,"Aging Summary";#N/A,#N/A,FALSE,"Ratio Analysis";#N/A,#N/A,FALSE,"Test 120 Day Accts";#N/A,#N/A,FALSE,"Tickmarks"}</definedName>
    <definedName name="parra" hidden="1">{#N/A,#N/A,FALSE,"Aging Summary";#N/A,#N/A,FALSE,"Ratio Analysis";#N/A,#N/A,FALSE,"Test 120 Day Accts";#N/A,#N/A,FALSE,"Tickmarks"}</definedName>
    <definedName name="particulares1" localSheetId="10" hidden="1">{#N/A,#N/A,FALSE,"Aging Summary";#N/A,#N/A,FALSE,"Ratio Analysis";#N/A,#N/A,FALSE,"Test 120 Day Accts";#N/A,#N/A,FALSE,"Tickmarks"}</definedName>
    <definedName name="particulares1" hidden="1">{#N/A,#N/A,FALSE,"Aging Summary";#N/A,#N/A,FALSE,"Ratio Analysis";#N/A,#N/A,FALSE,"Test 120 Day Accts";#N/A,#N/A,FALSE,"Tickmarks"}</definedName>
    <definedName name="PEPA" localSheetId="10" hidden="1">{"PYGT",#N/A,FALSE,"PYG";"ACTIT",#N/A,FALSE,"BCE_GRAL-ACTIVO";"PASIT",#N/A,FALSE,"BCE_GRAL-PASIVO-PATRIM";"CAJAT",#N/A,FALSE,"CAJA"}</definedName>
    <definedName name="PEPA" hidden="1">{"PYGT",#N/A,FALSE,"PYG";"ACTIT",#N/A,FALSE,"BCE_GRAL-ACTIVO";"PASIT",#N/A,FALSE,"BCE_GRAL-PASIVO-PATRIM";"CAJAT",#N/A,FALSE,"CAJA"}</definedName>
    <definedName name="PERA" localSheetId="10" hidden="1">{#N/A,#N/A,FALSE,"Aging Summary";#N/A,#N/A,FALSE,"Ratio Analysis";#N/A,#N/A,FALSE,"Test 120 Day Accts";#N/A,#N/A,FALSE,"Tickmarks"}</definedName>
    <definedName name="PERA" hidden="1">{#N/A,#N/A,FALSE,"Aging Summary";#N/A,#N/A,FALSE,"Ratio Analysis";#N/A,#N/A,FALSE,"Test 120 Day Accts";#N/A,#N/A,FALSE,"Tickmarks"}</definedName>
    <definedName name="perico" localSheetId="10" hidden="1">{#N/A,#N/A,FALSE,"Aging Summary";#N/A,#N/A,FALSE,"Ratio Analysis";#N/A,#N/A,FALSE,"Test 120 Day Accts";#N/A,#N/A,FALSE,"Tickmarks"}</definedName>
    <definedName name="perico" hidden="1">{#N/A,#N/A,FALSE,"Aging Summary";#N/A,#N/A,FALSE,"Ratio Analysis";#N/A,#N/A,FALSE,"Test 120 Day Accts";#N/A,#N/A,FALSE,"Tickmarks"}</definedName>
    <definedName name="pintada" localSheetId="9" hidden="1">{#N/A,#N/A,FALSE,"balance";#N/A,#N/A,FALSE,"PYG"}</definedName>
    <definedName name="pintada" localSheetId="10" hidden="1">{#N/A,#N/A,FALSE,"balance";#N/A,#N/A,FALSE,"PYG"}</definedName>
    <definedName name="pintada" hidden="1">{#N/A,#N/A,FALSE,"balance";#N/A,#N/A,FALSE,"PYG"}</definedName>
    <definedName name="pl" localSheetId="10" hidden="1">{#N/A,#N/A,FALSE,"Aging Summary";#N/A,#N/A,FALSE,"Ratio Analysis";#N/A,#N/A,FALSE,"Test 120 Day Accts";#N/A,#N/A,FALSE,"Tickmarks"}</definedName>
    <definedName name="pl" hidden="1">{#N/A,#N/A,FALSE,"Aging Summary";#N/A,#N/A,FALSE,"Ratio Analysis";#N/A,#N/A,FALSE,"Test 120 Day Accts";#N/A,#N/A,FALSE,"Tickmarks"}</definedName>
    <definedName name="PÑ" localSheetId="10" hidden="1">{#N/A,#N/A,FALSE,"Aging Summary";#N/A,#N/A,FALSE,"Ratio Analysis";#N/A,#N/A,FALSE,"Test 120 Day Accts";#N/A,#N/A,FALSE,"Tickmarks"}</definedName>
    <definedName name="PÑ" hidden="1">{#N/A,#N/A,FALSE,"Aging Summary";#N/A,#N/A,FALSE,"Ratio Analysis";#N/A,#N/A,FALSE,"Test 120 Day Accts";#N/A,#N/A,FALSE,"Tickmarks"}</definedName>
    <definedName name="PO" localSheetId="10" hidden="1">{#N/A,#N/A,FALSE,"Aging Summary";#N/A,#N/A,FALSE,"Ratio Analysis";#N/A,#N/A,FALSE,"Test 120 Day Accts";#N/A,#N/A,FALSE,"Tickmarks"}</definedName>
    <definedName name="PO" hidden="1">{#N/A,#N/A,FALSE,"Aging Summary";#N/A,#N/A,FALSE,"Ratio Analysis";#N/A,#N/A,FALSE,"Test 120 Day Accts";#N/A,#N/A,FALSE,"Tickmarks"}</definedName>
    <definedName name="POLIS" localSheetId="10" hidden="1">{#N/A,#N/A,FALSE,"GRAFICO";#N/A,#N/A,FALSE,"CAJA (2)";#N/A,#N/A,FALSE,"TERCEROS-PROMEDIO";#N/A,#N/A,FALSE,"CAJA";#N/A,#N/A,FALSE,"INGRESOS1995-2003";#N/A,#N/A,FALSE,"GASTOS1995-2003"}</definedName>
    <definedName name="POLIS" hidden="1">{#N/A,#N/A,FALSE,"GRAFICO";#N/A,#N/A,FALSE,"CAJA (2)";#N/A,#N/A,FALSE,"TERCEROS-PROMEDIO";#N/A,#N/A,FALSE,"CAJA";#N/A,#N/A,FALSE,"INGRESOS1995-2003";#N/A,#N/A,FALSE,"GASTOS1995-2003"}</definedName>
    <definedName name="pp" localSheetId="9" hidden="1">{#N/A,#N/A,FALSE,"balance";#N/A,#N/A,FALSE,"PYG"}</definedName>
    <definedName name="pp" localSheetId="10" hidden="1">{#N/A,#N/A,FALSE,"balance";#N/A,#N/A,FALSE,"PYG"}</definedName>
    <definedName name="pp" hidden="1">{#N/A,#N/A,FALSE,"balance";#N/A,#N/A,FALSE,"PYG"}</definedName>
    <definedName name="Pptomol06revisrefino" localSheetId="10" hidden="1">{"'18'!$A$5:$M$18"}</definedName>
    <definedName name="Pptomol06revisrefino" hidden="1">{"'18'!$A$5:$M$18"}</definedName>
    <definedName name="PRODUCTO" localSheetId="9" hidden="1">{#N/A,#N/A,FALSE,"balance";#N/A,#N/A,FALSE,"PYG"}</definedName>
    <definedName name="PRODUCTO" localSheetId="10" hidden="1">{#N/A,#N/A,FALSE,"balance";#N/A,#N/A,FALSE,"PYG"}</definedName>
    <definedName name="PRODUCTO" hidden="1">{#N/A,#N/A,FALSE,"balance";#N/A,#N/A,FALSE,"PYG"}</definedName>
    <definedName name="PYG" localSheetId="9" hidden="1">{#N/A,#N/A,FALSE,"balance";#N/A,#N/A,FALSE,"PYG"}</definedName>
    <definedName name="PYG" localSheetId="10" hidden="1">{#N/A,#N/A,FALSE,"balance";#N/A,#N/A,FALSE,"PYG"}</definedName>
    <definedName name="PYG" hidden="1">{#N/A,#N/A,FALSE,"balance";#N/A,#N/A,FALSE,"PYG"}</definedName>
    <definedName name="q" localSheetId="9" hidden="1">{#N/A,#N/A,FALSE,"Aging Summary";#N/A,#N/A,FALSE,"Ratio Analysis";#N/A,#N/A,FALSE,"Test 120 Day Accts";#N/A,#N/A,FALSE,"Tickmarks"}</definedName>
    <definedName name="q" localSheetId="10" hidden="1">{#N/A,#N/A,FALSE,"Aging Summary";#N/A,#N/A,FALSE,"Ratio Analysis";#N/A,#N/A,FALSE,"Test 120 Day Accts";#N/A,#N/A,FALSE,"Tickmarks"}</definedName>
    <definedName name="q" hidden="1">{#N/A,#N/A,FALSE,"Aging Summary";#N/A,#N/A,FALSE,"Ratio Analysis";#N/A,#N/A,FALSE,"Test 120 Day Accts";#N/A,#N/A,FALSE,"Tickmarks"}</definedName>
    <definedName name="QPI" localSheetId="10" hidden="1">{#N/A,#N/A,FALSE,"Aging Summary";#N/A,#N/A,FALSE,"Ratio Analysis";#N/A,#N/A,FALSE,"Test 120 Day Accts";#N/A,#N/A,FALSE,"Tickmarks"}</definedName>
    <definedName name="QPI" hidden="1">{#N/A,#N/A,FALSE,"Aging Summary";#N/A,#N/A,FALSE,"Ratio Analysis";#N/A,#N/A,FALSE,"Test 120 Day Accts";#N/A,#N/A,FALSE,"Tickmarks"}</definedName>
    <definedName name="QUESO" localSheetId="10" hidden="1">{"PYGT",#N/A,FALSE,"PYG";"ACTIT",#N/A,FALSE,"BCE_GRAL-ACTIVO";"PASIT",#N/A,FALSE,"BCE_GRAL-PASIVO-PATRIM";"CAJAT",#N/A,FALSE,"CAJA"}</definedName>
    <definedName name="QUESO" hidden="1">{"PYGT",#N/A,FALSE,"PYG";"ACTIT",#N/A,FALSE,"BCE_GRAL-ACTIVO";"PASIT",#N/A,FALSE,"BCE_GRAL-PASIVO-PATRIM";"CAJAT",#N/A,FALSE,"CAJA"}</definedName>
    <definedName name="RAIZ" localSheetId="10" hidden="1">{#N/A,#N/A,FALSE,"Aging Summary";#N/A,#N/A,FALSE,"Ratio Analysis";#N/A,#N/A,FALSE,"Test 120 Day Accts";#N/A,#N/A,FALSE,"Tickmarks"}</definedName>
    <definedName name="RAIZ" hidden="1">{#N/A,#N/A,FALSE,"Aging Summary";#N/A,#N/A,FALSE,"Ratio Analysis";#N/A,#N/A,FALSE,"Test 120 Day Accts";#N/A,#N/A,FALSE,"Tickmarks"}</definedName>
    <definedName name="RANGO">[10]Hoja1!#REF!</definedName>
    <definedName name="re" localSheetId="9" hidden="1">{#N/A,#N/A,FALSE,"balance";#N/A,#N/A,FALSE,"PYG"}</definedName>
    <definedName name="re" localSheetId="10" hidden="1">{#N/A,#N/A,FALSE,"balance";#N/A,#N/A,FALSE,"PYG"}</definedName>
    <definedName name="re" hidden="1">{#N/A,#N/A,FALSE,"balance";#N/A,#N/A,FALSE,"PYG"}</definedName>
    <definedName name="REE" localSheetId="10" hidden="1">{"'18'!$A$5:$M$18"}</definedName>
    <definedName name="REE" hidden="1">{"'18'!$A$5:$M$18"}</definedName>
    <definedName name="rei" localSheetId="10" hidden="1">{"'18'!$A$5:$M$18"}</definedName>
    <definedName name="rei" hidden="1">{"'18'!$A$5:$M$18"}</definedName>
    <definedName name="res" localSheetId="10" hidden="1">{#N/A,#N/A,FALSE,"GRAFICO";#N/A,#N/A,FALSE,"CAJA (2)";#N/A,#N/A,FALSE,"TERCEROS-PROMEDIO";#N/A,#N/A,FALSE,"CAJA";#N/A,#N/A,FALSE,"INGRESOS1995-2003";#N/A,#N/A,FALSE,"GASTOS1995-2003"}</definedName>
    <definedName name="res" hidden="1">{#N/A,#N/A,FALSE,"GRAFICO";#N/A,#N/A,FALSE,"CAJA (2)";#N/A,#N/A,FALSE,"TERCEROS-PROMEDIO";#N/A,#N/A,FALSE,"CAJA";#N/A,#N/A,FALSE,"INGRESOS1995-2003";#N/A,#N/A,FALSE,"GASTOS1995-2003"}</definedName>
    <definedName name="Resumen" hidden="1">#REF!</definedName>
    <definedName name="ret" localSheetId="10" hidden="1">{#N/A,#N/A,FALSE,"Aging Summary";#N/A,#N/A,FALSE,"Ratio Analysis";#N/A,#N/A,FALSE,"Test 120 Day Accts";#N/A,#N/A,FALSE,"Tickmarks"}</definedName>
    <definedName name="ret" hidden="1">{#N/A,#N/A,FALSE,"Aging Summary";#N/A,#N/A,FALSE,"Ratio Analysis";#N/A,#N/A,FALSE,"Test 120 Day Accts";#N/A,#N/A,FALSE,"Tickmarks"}</definedName>
    <definedName name="reti" localSheetId="10" hidden="1">{"'18'!$A$5:$M$18"}</definedName>
    <definedName name="reti" hidden="1">{"'18'!$A$5:$M$18"}</definedName>
    <definedName name="retiro" localSheetId="10" hidden="1">{"'18'!$A$5:$M$18"}</definedName>
    <definedName name="retiro" hidden="1">{"'18'!$A$5:$M$18"}</definedName>
    <definedName name="RF" localSheetId="10" hidden="1">{#N/A,#N/A,FALSE,"Aging Summary";#N/A,#N/A,FALSE,"Ratio Analysis";#N/A,#N/A,FALSE,"Test 120 Day Accts";#N/A,#N/A,FALSE,"Tickmarks"}</definedName>
    <definedName name="RF" hidden="1">{#N/A,#N/A,FALSE,"Aging Summary";#N/A,#N/A,FALSE,"Ratio Analysis";#N/A,#N/A,FALSE,"Test 120 Day Accts";#N/A,#N/A,FALSE,"Tickmarks"}</definedName>
    <definedName name="rr" localSheetId="10" hidden="1">{"PYGS",#N/A,FALSE,"PYG";"ACTIS",#N/A,FALSE,"BCE_GRAL-ACTIVO";"PASIS",#N/A,FALSE,"BCE_GRAL-PASIVO-PATRIM";"CAJAS",#N/A,FALSE,"CAJA"}</definedName>
    <definedName name="rr" hidden="1">{"PYGS",#N/A,FALSE,"PYG";"ACTIS",#N/A,FALSE,"BCE_GRAL-ACTIVO";"PASIS",#N/A,FALSE,"BCE_GRAL-PASIVO-PATRIM";"CAJAS",#N/A,FALSE,"CAJA"}</definedName>
    <definedName name="rrrrrrrrrrr" localSheetId="10" hidden="1">{#N/A,#N/A,FALSE,"GRAFICO";#N/A,#N/A,FALSE,"CAJA (2)";#N/A,#N/A,FALSE,"TERCEROS-PROMEDIO";#N/A,#N/A,FALSE,"CAJA";#N/A,#N/A,FALSE,"INGRESOS1995-2003";#N/A,#N/A,FALSE,"GASTOS1995-2003"}</definedName>
    <definedName name="rrrrrrrrrrr" hidden="1">{#N/A,#N/A,FALSE,"GRAFICO";#N/A,#N/A,FALSE,"CAJA (2)";#N/A,#N/A,FALSE,"TERCEROS-PROMEDIO";#N/A,#N/A,FALSE,"CAJA";#N/A,#N/A,FALSE,"INGRESOS1995-2003";#N/A,#N/A,FALSE,"GASTOS1995-2003"}</definedName>
    <definedName name="rrtrr" localSheetId="10" hidden="1">{"PYGT",#N/A,FALSE,"PYG";"ACTIT",#N/A,FALSE,"BCE_GRAL-ACTIVO";"PASIT",#N/A,FALSE,"BCE_GRAL-PASIVO-PATRIM";"CAJAT",#N/A,FALSE,"CAJA"}</definedName>
    <definedName name="rrtrr" hidden="1">{"PYGT",#N/A,FALSE,"PYG";"ACTIT",#N/A,FALSE,"BCE_GRAL-ACTIVO";"PASIT",#N/A,FALSE,"BCE_GRAL-PASIVO-PATRIM";"CAJAT",#N/A,FALSE,"CAJA"}</definedName>
    <definedName name="RTS" localSheetId="10" hidden="1">{#N/A,#N/A,FALSE,"Aging Summary";#N/A,#N/A,FALSE,"Ratio Analysis";#N/A,#N/A,FALSE,"Test 120 Day Accts";#N/A,#N/A,FALSE,"Tickmarks"}</definedName>
    <definedName name="RTS" hidden="1">{#N/A,#N/A,FALSE,"Aging Summary";#N/A,#N/A,FALSE,"Ratio Analysis";#N/A,#N/A,FALSE,"Test 120 Day Accts";#N/A,#N/A,FALSE,"Tickmarks"}</definedName>
    <definedName name="S" localSheetId="10" hidden="1">{#N/A,#N/A,FALSE,"GRAFICO";#N/A,#N/A,FALSE,"CAJA (2)";#N/A,#N/A,FALSE,"TERCEROS-PROMEDIO";#N/A,#N/A,FALSE,"CAJA";#N/A,#N/A,FALSE,"INGRESOS1995-2003";#N/A,#N/A,FALSE,"GASTOS1995-2003"}</definedName>
    <definedName name="S" hidden="1">{#N/A,#N/A,FALSE,"GRAFICO";#N/A,#N/A,FALSE,"CAJA (2)";#N/A,#N/A,FALSE,"TERCEROS-PROMEDIO";#N/A,#N/A,FALSE,"CAJA";#N/A,#N/A,FALSE,"INGRESOS1995-2003";#N/A,#N/A,FALSE,"GASTOS1995-2003"}</definedName>
    <definedName name="SALDOSAP" localSheetId="10" hidden="1">{"PYGS",#N/A,FALSE,"PYG";"ACTIS",#N/A,FALSE,"BCE_GRAL-ACTIVO";"PASIS",#N/A,FALSE,"BCE_GRAL-PASIVO-PATRIM";"CAJAS",#N/A,FALSE,"CAJA"}</definedName>
    <definedName name="SALDOSAP" hidden="1">{"PYGS",#N/A,FALSE,"PYG";"ACTIS",#N/A,FALSE,"BCE_GRAL-ACTIVO";"PASIS",#N/A,FALSE,"BCE_GRAL-PASIVO-PATRIM";"CAJAS",#N/A,FALSE,"CAJA"}</definedName>
    <definedName name="SAPBEXhrIndnt" hidden="1">1</definedName>
    <definedName name="SAPBEXrevision" hidden="1">1</definedName>
    <definedName name="SAPBEXsysID" localSheetId="9" hidden="1">"C73"</definedName>
    <definedName name="SAPBEXsysID" hidden="1">"BWP"</definedName>
    <definedName name="SAPBEXwbID" localSheetId="9" hidden="1">"3T1VGQWO3XVR246DYVYTNTMTR"</definedName>
    <definedName name="SAPBEXwbID" hidden="1">"3PAIY8A0PAFUN0NVJ1AMBH10D"</definedName>
    <definedName name="sd" localSheetId="10" hidden="1">{#N/A,#N/A,FALSE,"Aging Summary";#N/A,#N/A,FALSE,"Ratio Analysis";#N/A,#N/A,FALSE,"Test 120 Day Accts";#N/A,#N/A,FALSE,"Tickmarks"}</definedName>
    <definedName name="sd" hidden="1">{#N/A,#N/A,FALSE,"Aging Summary";#N/A,#N/A,FALSE,"Ratio Analysis";#N/A,#N/A,FALSE,"Test 120 Day Accts";#N/A,#N/A,FALSE,"Tickmarks"}</definedName>
    <definedName name="SELLO" localSheetId="10" hidden="1">{#N/A,#N/A,FALSE,"Aging Summary";#N/A,#N/A,FALSE,"Ratio Analysis";#N/A,#N/A,FALSE,"Test 120 Day Accts";#N/A,#N/A,FALSE,"Tickmarks"}</definedName>
    <definedName name="SELLO" hidden="1">{#N/A,#N/A,FALSE,"Aging Summary";#N/A,#N/A,FALSE,"Ratio Analysis";#N/A,#N/A,FALSE,"Test 120 Day Accts";#N/A,#N/A,FALSE,"Tickmarks"}</definedName>
    <definedName name="sencount" hidden="1">1</definedName>
    <definedName name="servicios" localSheetId="10" hidden="1">{#N/A,#N/A,FALSE,"Aging Summary";#N/A,#N/A,FALSE,"Ratio Analysis";#N/A,#N/A,FALSE,"Test 120 Day Accts";#N/A,#N/A,FALSE,"Tickmarks"}</definedName>
    <definedName name="servicios" hidden="1">{#N/A,#N/A,FALSE,"Aging Summary";#N/A,#N/A,FALSE,"Ratio Analysis";#N/A,#N/A,FALSE,"Test 120 Day Accts";#N/A,#N/A,FALSE,"Tickmarks"}</definedName>
    <definedName name="solver_drv" hidden="1">1</definedName>
    <definedName name="solver_est" hidden="1">1</definedName>
    <definedName name="solver_itr" hidden="1">100</definedName>
    <definedName name="solver_lin" hidden="1">0</definedName>
    <definedName name="solver_num" hidden="1">0</definedName>
    <definedName name="solver_nwt" hidden="1">1</definedName>
    <definedName name="solver_pre" hidden="1">0.000001</definedName>
    <definedName name="solver_scl" hidden="1">0</definedName>
    <definedName name="solver_sho" hidden="1">0</definedName>
    <definedName name="solver_tim" hidden="1">100</definedName>
    <definedName name="solver_tmp" hidden="1">#NULL!</definedName>
    <definedName name="solver_tol" hidden="1">0.05</definedName>
    <definedName name="solver_typ" hidden="1">1</definedName>
    <definedName name="solver_val" hidden="1">999999999</definedName>
    <definedName name="sss" localSheetId="10" hidden="1">{#N/A,#N/A,FALSE,"GRAFICO";#N/A,#N/A,FALSE,"CAJA (2)";#N/A,#N/A,FALSE,"TERCEROS-PROMEDIO";#N/A,#N/A,FALSE,"CAJA";#N/A,#N/A,FALSE,"INGRESOS1995-2003";#N/A,#N/A,FALSE,"GASTOS1995-2003"}</definedName>
    <definedName name="sss" hidden="1">{#N/A,#N/A,FALSE,"GRAFICO";#N/A,#N/A,FALSE,"CAJA (2)";#N/A,#N/A,FALSE,"TERCEROS-PROMEDIO";#N/A,#N/A,FALSE,"CAJA";#N/A,#N/A,FALSE,"INGRESOS1995-2003";#N/A,#N/A,FALSE,"GASTOS1995-2003"}</definedName>
    <definedName name="sssssssssss" localSheetId="10" hidden="1">{#N/A,#N/A,FALSE,"GRAFICO";#N/A,#N/A,FALSE,"CAJA (2)";#N/A,#N/A,FALSE,"TERCEROS-PROMEDIO";#N/A,#N/A,FALSE,"CAJA";#N/A,#N/A,FALSE,"INGRESOS1995-2003";#N/A,#N/A,FALSE,"GASTOS1995-2003"}</definedName>
    <definedName name="sssssssssss" hidden="1">{#N/A,#N/A,FALSE,"GRAFICO";#N/A,#N/A,FALSE,"CAJA (2)";#N/A,#N/A,FALSE,"TERCEROS-PROMEDIO";#N/A,#N/A,FALSE,"CAJA";#N/A,#N/A,FALSE,"INGRESOS1995-2003";#N/A,#N/A,FALSE,"GASTOS1995-2003"}</definedName>
    <definedName name="STELLA" localSheetId="10" hidden="1">{#N/A,#N/A,FALSE,"Aging Summary";#N/A,#N/A,FALSE,"Ratio Analysis";#N/A,#N/A,FALSE,"Test 120 Day Accts";#N/A,#N/A,FALSE,"Tickmarks"}</definedName>
    <definedName name="STELLA" hidden="1">{#N/A,#N/A,FALSE,"Aging Summary";#N/A,#N/A,FALSE,"Ratio Analysis";#N/A,#N/A,FALSE,"Test 120 Day Accts";#N/A,#N/A,FALSE,"Tickmarks"}</definedName>
    <definedName name="t" localSheetId="10" hidden="1">{"PYGT",#N/A,FALSE,"PYG";"ACTIT",#N/A,FALSE,"BCE_GRAL-ACTIVO";"PASIT",#N/A,FALSE,"BCE_GRAL-PASIVO-PATRIM";"CAJAT",#N/A,FALSE,"CAJA"}</definedName>
    <definedName name="t" hidden="1">{"PYGT",#N/A,FALSE,"PYG";"ACTIT",#N/A,FALSE,"BCE_GRAL-ACTIVO";"PASIT",#N/A,FALSE,"BCE_GRAL-PASIVO-PATRIM";"CAJAT",#N/A,FALSE,"CAJA"}</definedName>
    <definedName name="TablaHistorico" hidden="1">#REF!</definedName>
    <definedName name="TC" localSheetId="10" hidden="1">{#N/A,#N/A,FALSE,"GRAFICO";#N/A,#N/A,FALSE,"CAJA (2)";#N/A,#N/A,FALSE,"TERCEROS-PROMEDIO";#N/A,#N/A,FALSE,"CAJA";#N/A,#N/A,FALSE,"INGRESOS1995-2003";#N/A,#N/A,FALSE,"GASTOS1995-2003"}</definedName>
    <definedName name="TC" hidden="1">{#N/A,#N/A,FALSE,"GRAFICO";#N/A,#N/A,FALSE,"CAJA (2)";#N/A,#N/A,FALSE,"TERCEROS-PROMEDIO";#N/A,#N/A,FALSE,"CAJA";#N/A,#N/A,FALSE,"INGRESOS1995-2003";#N/A,#N/A,FALSE,"GASTOS1995-2003"}</definedName>
    <definedName name="TextRefCopyRangeCount" hidden="1">13</definedName>
    <definedName name="TORO" localSheetId="10" hidden="1">{"PYGT",#N/A,FALSE,"PYG";"ACTIT",#N/A,FALSE,"BCE_GRAL-ACTIVO";"PASIT",#N/A,FALSE,"BCE_GRAL-PASIVO-PATRIM";"CAJAT",#N/A,FALSE,"CAJA"}</definedName>
    <definedName name="TORO" hidden="1">{"PYGT",#N/A,FALSE,"PYG";"ACTIT",#N/A,FALSE,"BCE_GRAL-ACTIVO";"PASIT",#N/A,FALSE,"BCE_GRAL-PASIVO-PATRIM";"CAJAT",#N/A,FALSE,"CAJA"}</definedName>
    <definedName name="tr" localSheetId="10" hidden="1">{#N/A,#N/A,FALSE,"Aging Summary";#N/A,#N/A,FALSE,"Ratio Analysis";#N/A,#N/A,FALSE,"Test 120 Day Accts";#N/A,#N/A,FALSE,"Tickmarks"}</definedName>
    <definedName name="tr" hidden="1">{#N/A,#N/A,FALSE,"Aging Summary";#N/A,#N/A,FALSE,"Ratio Analysis";#N/A,#N/A,FALSE,"Test 120 Day Accts";#N/A,#N/A,FALSE,"Tickmarks"}</definedName>
    <definedName name="treeList" hidden="1">"10000000000000000000000000000000000000000000000000000000000000000000000000000000000000000000000000000000000000000000000000000000000000000000000000000000000000000000000000000000000000000000000000000000"</definedName>
    <definedName name="TRIO" localSheetId="10" hidden="1">{#N/A,#N/A,FALSE,"GRAFICO";#N/A,#N/A,FALSE,"CAJA (2)";#N/A,#N/A,FALSE,"TERCEROS-PROMEDIO";#N/A,#N/A,FALSE,"CAJA";#N/A,#N/A,FALSE,"INGRESOS1995-2003";#N/A,#N/A,FALSE,"GASTOS1995-2003"}</definedName>
    <definedName name="TRIO" hidden="1">{#N/A,#N/A,FALSE,"GRAFICO";#N/A,#N/A,FALSE,"CAJA (2)";#N/A,#N/A,FALSE,"TERCEROS-PROMEDIO";#N/A,#N/A,FALSE,"CAJA";#N/A,#N/A,FALSE,"INGRESOS1995-2003";#N/A,#N/A,FALSE,"GASTOS1995-2003"}</definedName>
    <definedName name="Triunfo" localSheetId="9" hidden="1">{#N/A,#N/A,FALSE,"balance";#N/A,#N/A,FALSE,"PYG"}</definedName>
    <definedName name="Triunfo" localSheetId="10" hidden="1">{#N/A,#N/A,FALSE,"balance";#N/A,#N/A,FALSE,"PYG"}</definedName>
    <definedName name="Triunfo" hidden="1">{#N/A,#N/A,FALSE,"balance";#N/A,#N/A,FALSE,"PYG"}</definedName>
    <definedName name="tttttttt" localSheetId="10" hidden="1">{"PYGT",#N/A,FALSE,"PYG";"ACTIT",#N/A,FALSE,"BCE_GRAL-ACTIVO";"PASIT",#N/A,FALSE,"BCE_GRAL-PASIVO-PATRIM";"CAJAT",#N/A,FALSE,"CAJA"}</definedName>
    <definedName name="tttttttt" hidden="1">{"PYGT",#N/A,FALSE,"PYG";"ACTIT",#N/A,FALSE,"BCE_GRAL-ACTIVO";"PASIT",#N/A,FALSE,"BCE_GRAL-PASIVO-PATRIM";"CAJAT",#N/A,FALSE,"CAJA"}</definedName>
    <definedName name="ttttttttttt" localSheetId="10" hidden="1">{"PYGT",#N/A,FALSE,"PYG";"ACTIT",#N/A,FALSE,"BCE_GRAL-ACTIVO";"PASIT",#N/A,FALSE,"BCE_GRAL-PASIVO-PATRIM";"CAJAT",#N/A,FALSE,"CAJA"}</definedName>
    <definedName name="ttttttttttt" hidden="1">{"PYGT",#N/A,FALSE,"PYG";"ACTIT",#N/A,FALSE,"BCE_GRAL-ACTIVO";"PASIT",#N/A,FALSE,"BCE_GRAL-PASIVO-PATRIM";"CAJAT",#N/A,FALSE,"CAJA"}</definedName>
    <definedName name="ttttttttttttt" localSheetId="10" hidden="1">{"PYGT",#N/A,FALSE,"PYG";"ACTIT",#N/A,FALSE,"BCE_GRAL-ACTIVO";"PASIT",#N/A,FALSE,"BCE_GRAL-PASIVO-PATRIM";"CAJAT",#N/A,FALSE,"CAJA"}</definedName>
    <definedName name="ttttttttttttt" hidden="1">{"PYGT",#N/A,FALSE,"PYG";"ACTIT",#N/A,FALSE,"BCE_GRAL-ACTIVO";"PASIT",#N/A,FALSE,"BCE_GRAL-PASIVO-PATRIM";"CAJAT",#N/A,FALSE,"CAJA"}</definedName>
    <definedName name="tyuio" localSheetId="10" hidden="1">{"PYGS",#N/A,FALSE,"PYG";"ACTIS",#N/A,FALSE,"BCE_GRAL-ACTIVO";"PASIS",#N/A,FALSE,"BCE_GRAL-PASIVO-PATRIM";"CAJAS",#N/A,FALSE,"CAJA"}</definedName>
    <definedName name="tyuio" hidden="1">{"PYGS",#N/A,FALSE,"PYG";"ACTIS",#N/A,FALSE,"BCE_GRAL-ACTIVO";"PASIS",#N/A,FALSE,"BCE_GRAL-PASIVO-PATRIM";"CAJAS",#N/A,FALSE,"CAJA"}</definedName>
    <definedName name="TYUT" localSheetId="10" hidden="1">{#N/A,#N/A,FALSE,"Aging Summary";#N/A,#N/A,FALSE,"Ratio Analysis";#N/A,#N/A,FALSE,"Test 120 Day Accts";#N/A,#N/A,FALSE,"Tickmarks"}</definedName>
    <definedName name="TYUT" hidden="1">{#N/A,#N/A,FALSE,"Aging Summary";#N/A,#N/A,FALSE,"Ratio Analysis";#N/A,#N/A,FALSE,"Test 120 Day Accts";#N/A,#N/A,FALSE,"Tickmarks"}</definedName>
    <definedName name="uf" localSheetId="10" hidden="1">{#N/A,#N/A,FALSE,"Aging Summary";#N/A,#N/A,FALSE,"Ratio Analysis";#N/A,#N/A,FALSE,"Test 120 Day Accts";#N/A,#N/A,FALSE,"Tickmarks"}</definedName>
    <definedName name="uf" hidden="1">{#N/A,#N/A,FALSE,"Aging Summary";#N/A,#N/A,FALSE,"Ratio Analysis";#N/A,#N/A,FALSE,"Test 120 Day Accts";#N/A,#N/A,FALSE,"Tickmarks"}</definedName>
    <definedName name="UÑA" localSheetId="10" hidden="1">{#N/A,#N/A,FALSE,"Aging Summary";#N/A,#N/A,FALSE,"Ratio Analysis";#N/A,#N/A,FALSE,"Test 120 Day Accts";#N/A,#N/A,FALSE,"Tickmarks"}</definedName>
    <definedName name="UÑA" hidden="1">{#N/A,#N/A,FALSE,"Aging Summary";#N/A,#N/A,FALSE,"Ratio Analysis";#N/A,#N/A,FALSE,"Test 120 Day Accts";#N/A,#N/A,FALSE,"Tickmarks"}</definedName>
    <definedName name="UÑERO" localSheetId="10" hidden="1">{"PYGS",#N/A,FALSE,"PYG";"ACTIS",#N/A,FALSE,"BCE_GRAL-ACTIVO";"PASIS",#N/A,FALSE,"BCE_GRAL-PASIVO-PATRIM";"CAJAS",#N/A,FALSE,"CAJA"}</definedName>
    <definedName name="UÑERO" hidden="1">{"PYGS",#N/A,FALSE,"PYG";"ACTIS",#N/A,FALSE,"BCE_GRAL-ACTIVO";"PASIS",#N/A,FALSE,"BCE_GRAL-PASIVO-PATRIM";"CAJAS",#N/A,FALSE,"CAJA"}</definedName>
    <definedName name="util" localSheetId="10" hidden="1">{"'Hoja2'!$A$4:$H$68"}</definedName>
    <definedName name="util" hidden="1">{"'Hoja2'!$A$4:$H$68"}</definedName>
    <definedName name="v" localSheetId="10" hidden="1">{#N/A,#N/A,FALSE,"GRAFICO";#N/A,#N/A,FALSE,"CAJA (2)";#N/A,#N/A,FALSE,"TERCEROS-PROMEDIO";#N/A,#N/A,FALSE,"CAJA";#N/A,#N/A,FALSE,"INGRESOS1995-2003";#N/A,#N/A,FALSE,"GASTOS1995-2003"}</definedName>
    <definedName name="v" hidden="1">{#N/A,#N/A,FALSE,"GRAFICO";#N/A,#N/A,FALSE,"CAJA (2)";#N/A,#N/A,FALSE,"TERCEROS-PROMEDIO";#N/A,#N/A,FALSE,"CAJA";#N/A,#N/A,FALSE,"INGRESOS1995-2003";#N/A,#N/A,FALSE,"GASTOS1995-2003"}</definedName>
    <definedName name="vb" localSheetId="10" hidden="1">{"Parcial",#N/A,FALSE,"GastFuncionamiento";"Parcial2",#N/A,FALSE,"GastFuncionamiento";"Total",#N/A,FALSE,"GastFuncionamiento"}</definedName>
    <definedName name="vb" hidden="1">{"Parcial",#N/A,FALSE,"GastFuncionamiento";"Parcial2",#N/A,FALSE,"GastFuncionamiento";"Total",#N/A,FALSE,"GastFuncionamiento"}</definedName>
    <definedName name="verde" localSheetId="10" hidden="1">{#N/A,#N/A,FALSE,"Aging Summary";#N/A,#N/A,FALSE,"Ratio Analysis";#N/A,#N/A,FALSE,"Test 120 Day Accts";#N/A,#N/A,FALSE,"Tickmarks"}</definedName>
    <definedName name="verde" hidden="1">{#N/A,#N/A,FALSE,"Aging Summary";#N/A,#N/A,FALSE,"Ratio Analysis";#N/A,#N/A,FALSE,"Test 120 Day Accts";#N/A,#N/A,FALSE,"Tickmarks"}</definedName>
    <definedName name="vghf" localSheetId="10" hidden="1">{#N/A,#N/A,FALSE,"Aging Summary";#N/A,#N/A,FALSE,"Ratio Analysis";#N/A,#N/A,FALSE,"Test 120 Day Accts";#N/A,#N/A,FALSE,"Tickmarks"}</definedName>
    <definedName name="vghf" hidden="1">{#N/A,#N/A,FALSE,"Aging Summary";#N/A,#N/A,FALSE,"Ratio Analysis";#N/A,#N/A,FALSE,"Test 120 Day Accts";#N/A,#N/A,FALSE,"Tickmarks"}</definedName>
    <definedName name="VVVVV" localSheetId="10" hidden="1">{#N/A,#N/A,FALSE,"Full";#N/A,#N/A,FALSE,"Half";#N/A,#N/A,FALSE,"Op Expenses";#N/A,#N/A,FALSE,"Cap Charge";#N/A,#N/A,FALSE,"Cost C";#N/A,#N/A,FALSE,"PP&amp;E";#N/A,#N/A,FALSE,"R&amp;D"}</definedName>
    <definedName name="VVVVV" hidden="1">{#N/A,#N/A,FALSE,"Full";#N/A,#N/A,FALSE,"Half";#N/A,#N/A,FALSE,"Op Expenses";#N/A,#N/A,FALSE,"Cap Charge";#N/A,#N/A,FALSE,"Cost C";#N/A,#N/A,FALSE,"PP&amp;E";#N/A,#N/A,FALSE,"R&amp;D"}</definedName>
    <definedName name="w" localSheetId="9" hidden="1">{#N/A,#N/A,FALSE,"Aging Summary";#N/A,#N/A,FALSE,"Ratio Analysis";#N/A,#N/A,FALSE,"Test 120 Day Accts";#N/A,#N/A,FALSE,"Tickmarks"}</definedName>
    <definedName name="w" localSheetId="10" hidden="1">{#N/A,#N/A,FALSE,"Aging Summary";#N/A,#N/A,FALSE,"Ratio Analysis";#N/A,#N/A,FALSE,"Test 120 Day Accts";#N/A,#N/A,FALSE,"Tickmarks"}</definedName>
    <definedName name="w" hidden="1">{#N/A,#N/A,FALSE,"Aging Summary";#N/A,#N/A,FALSE,"Ratio Analysis";#N/A,#N/A,FALSE,"Test 120 Day Accts";#N/A,#N/A,FALSE,"Tickmarks"}</definedName>
    <definedName name="WEAR" localSheetId="10" hidden="1">{#N/A,#N/A,FALSE,"Aging Summary";#N/A,#N/A,FALSE,"Ratio Analysis";#N/A,#N/A,FALSE,"Test 120 Day Accts";#N/A,#N/A,FALSE,"Tickmarks"}</definedName>
    <definedName name="WEAR" hidden="1">{#N/A,#N/A,FALSE,"Aging Summary";#N/A,#N/A,FALSE,"Ratio Analysis";#N/A,#N/A,FALSE,"Test 120 Day Accts";#N/A,#N/A,FALSE,"Tickmarks"}</definedName>
    <definedName name="william" localSheetId="10" hidden="1">{#N/A,#N/A,FALSE,"Aging Summary";#N/A,#N/A,FALSE,"Ratio Analysis";#N/A,#N/A,FALSE,"Test 120 Day Accts";#N/A,#N/A,FALSE,"Tickmarks"}</definedName>
    <definedName name="william" hidden="1">{#N/A,#N/A,FALSE,"Aging Summary";#N/A,#N/A,FALSE,"Ratio Analysis";#N/A,#N/A,FALSE,"Test 120 Day Accts";#N/A,#N/A,FALSE,"Tickmarks"}</definedName>
    <definedName name="wq" localSheetId="10" hidden="1">{#N/A,#N/A,FALSE,"Aging Summary";#N/A,#N/A,FALSE,"Ratio Analysis";#N/A,#N/A,FALSE,"Test 120 Day Accts";#N/A,#N/A,FALSE,"Tickmarks"}</definedName>
    <definedName name="wq" hidden="1">{#N/A,#N/A,FALSE,"Aging Summary";#N/A,#N/A,FALSE,"Ratio Analysis";#N/A,#N/A,FALSE,"Test 120 Day Accts";#N/A,#N/A,FALSE,"Tickmarks"}</definedName>
    <definedName name="wqa" localSheetId="10" hidden="1">{#N/A,#N/A,FALSE,"Aging Summary";#N/A,#N/A,FALSE,"Ratio Analysis";#N/A,#N/A,FALSE,"Test 120 Day Accts";#N/A,#N/A,FALSE,"Tickmarks"}</definedName>
    <definedName name="wqa" hidden="1">{#N/A,#N/A,FALSE,"Aging Summary";#N/A,#N/A,FALSE,"Ratio Analysis";#N/A,#N/A,FALSE,"Test 120 Day Accts";#N/A,#N/A,FALSE,"Tickmarks"}</definedName>
    <definedName name="wr" localSheetId="10" hidden="1">{#N/A,#N/A,FALSE,"Aging Summary";#N/A,#N/A,FALSE,"Ratio Analysis";#N/A,#N/A,FALSE,"Test 120 Day Accts";#N/A,#N/A,FALSE,"Tickmarks"}</definedName>
    <definedName name="wr" hidden="1">{#N/A,#N/A,FALSE,"Aging Summary";#N/A,#N/A,FALSE,"Ratio Analysis";#N/A,#N/A,FALSE,"Test 120 Day Accts";#N/A,#N/A,FALSE,"Tickmarks"}</definedName>
    <definedName name="wrn.Aging._.and._.Trend._.Analysis." localSheetId="9" hidden="1">{#N/A,#N/A,FALSE,"Aging Summary";#N/A,#N/A,FALSE,"Ratio Analysis";#N/A,#N/A,FALSE,"Test 120 Day Accts";#N/A,#N/A,FALSE,"Tickmarks"}</definedName>
    <definedName name="wrn.Aging._.and._.Trend._.Analysis." localSheetId="10"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ll." localSheetId="9" hidden="1">{#N/A,#N/A,FALSE,"BL&amp;GPA";#N/A,#N/A,FALSE,"Summary";#N/A,#N/A,FALSE,"hts"}</definedName>
    <definedName name="wrn.all." localSheetId="10" hidden="1">{#N/A,#N/A,FALSE,"BL&amp;GPA";#N/A,#N/A,FALSE,"Summary";#N/A,#N/A,FALSE,"hts"}</definedName>
    <definedName name="wrn.all." hidden="1">{#N/A,#N/A,FALSE,"BL&amp;GPA";#N/A,#N/A,FALSE,"Summary";#N/A,#N/A,FALSE,"hts"}</definedName>
    <definedName name="WRN.ALL.2" localSheetId="9" hidden="1">{#N/A,#N/A,FALSE,"BL&amp;GPA";#N/A,#N/A,FALSE,"Summary";#N/A,#N/A,FALSE,"hts"}</definedName>
    <definedName name="WRN.ALL.2" localSheetId="10" hidden="1">{#N/A,#N/A,FALSE,"BL&amp;GPA";#N/A,#N/A,FALSE,"Summary";#N/A,#N/A,FALSE,"hts"}</definedName>
    <definedName name="WRN.ALL.2" hidden="1">{#N/A,#N/A,FALSE,"BL&amp;GPA";#N/A,#N/A,FALSE,"Summary";#N/A,#N/A,FALSE,"hts"}</definedName>
    <definedName name="wrn.Book." localSheetId="10" hidden="1">{"EVA",#N/A,FALSE,"SMT2";#N/A,#N/A,FALSE,"Summary";#N/A,#N/A,FALSE,"Graphs";#N/A,#N/A,FALSE,"4 Panel"}</definedName>
    <definedName name="wrn.Book." hidden="1">{"EVA",#N/A,FALSE,"SMT2";#N/A,#N/A,FALSE,"Summary";#N/A,#N/A,FALSE,"Graphs";#N/A,#N/A,FALSE,"4 Panel"}</definedName>
    <definedName name="wrn.Complete." localSheetId="10" hidden="1">{#N/A,#N/A,FALSE,"SMT1";#N/A,#N/A,FALSE,"SMT2";#N/A,#N/A,FALSE,"Summary";#N/A,#N/A,FALSE,"Graphs";#N/A,#N/A,FALSE,"4 Panel"}</definedName>
    <definedName name="wrn.Complete." hidden="1">{#N/A,#N/A,FALSE,"SMT1";#N/A,#N/A,FALSE,"SMT2";#N/A,#N/A,FALSE,"Summary";#N/A,#N/A,FALSE,"Graphs";#N/A,#N/A,FALSE,"4 Panel"}</definedName>
    <definedName name="wrn.Complete._.Set." localSheetId="10" hidden="1">{#N/A,#N/A,FALSE,"Full";#N/A,#N/A,FALSE,"Half";#N/A,#N/A,FALSE,"Op Expenses";#N/A,#N/A,FALSE,"Cap Charge";#N/A,#N/A,FALSE,"Cost C";#N/A,#N/A,FALSE,"PP&amp;E";#N/A,#N/A,FALSE,"R&amp;D"}</definedName>
    <definedName name="wrn.Complete._.Set." hidden="1">{#N/A,#N/A,FALSE,"Full";#N/A,#N/A,FALSE,"Half";#N/A,#N/A,FALSE,"Op Expenses";#N/A,#N/A,FALSE,"Cap Charge";#N/A,#N/A,FALSE,"Cost C";#N/A,#N/A,FALSE,"PP&amp;E";#N/A,#N/A,FALSE,"R&amp;D"}</definedName>
    <definedName name="wrn.indirectostotal." localSheetId="9" hidden="1">{"idirectoskwh",#N/A,FALSE,"INDIRECTOS"}</definedName>
    <definedName name="wrn.indirectostotal." localSheetId="10" hidden="1">{"idirectoskwh",#N/A,FALSE,"INDIRECTOS"}</definedName>
    <definedName name="wrn.indirectostotal." hidden="1">{"idirectoskwh",#N/A,FALSE,"INDIRECTOS"}</definedName>
    <definedName name="wrn.junta." localSheetId="9" hidden="1">{#N/A,#N/A,FALSE,"balance";#N/A,#N/A,FALSE,"PYG"}</definedName>
    <definedName name="wrn.junta." localSheetId="10" hidden="1">{#N/A,#N/A,FALSE,"balance";#N/A,#N/A,FALSE,"PYG"}</definedName>
    <definedName name="wrn.junta." hidden="1">{#N/A,#N/A,FALSE,"balance";#N/A,#N/A,FALSE,"PYG"}</definedName>
    <definedName name="wrn.junta.2" localSheetId="9" hidden="1">{#N/A,#N/A,FALSE,"balance";#N/A,#N/A,FALSE,"PYG"}</definedName>
    <definedName name="wrn.junta.2" localSheetId="10" hidden="1">{#N/A,#N/A,FALSE,"balance";#N/A,#N/A,FALSE,"PYG"}</definedName>
    <definedName name="wrn.junta.2" hidden="1">{#N/A,#N/A,FALSE,"balance";#N/A,#N/A,FALSE,"PYG"}</definedName>
    <definedName name="wrn.KWHTOTAL." localSheetId="9" hidden="1">{"KWHTONTOTAL",#N/A,FALSE,"KWHTON"}</definedName>
    <definedName name="wrn.KWHTOTAL." localSheetId="10" hidden="1">{"KWHTONTOTAL",#N/A,FALSE,"KWHTON"}</definedName>
    <definedName name="wrn.KWHTOTAL." hidden="1">{"KWHTONTOTAL",#N/A,FALSE,"KWHTON"}</definedName>
    <definedName name="wrn.print._.rept.." localSheetId="9" hidden="1">{#N/A,#N/A,FALSE,"GP";#N/A,#N/A,FALSE,"Summary"}</definedName>
    <definedName name="wrn.print._.rept.." localSheetId="10" hidden="1">{#N/A,#N/A,FALSE,"GP";#N/A,#N/A,FALSE,"Summary"}</definedName>
    <definedName name="wrn.print._.rept.." hidden="1">{#N/A,#N/A,FALSE,"GP";#N/A,#N/A,FALSE,"Summary"}</definedName>
    <definedName name="wrn.PROYEC." localSheetId="10" hidden="1">{#N/A,#N/A,FALSE,"GRAFICO";#N/A,#N/A,FALSE,"CAJA (2)";#N/A,#N/A,FALSE,"TERCEROS-PROMEDIO";#N/A,#N/A,FALSE,"CAJA";#N/A,#N/A,FALSE,"INGRESOS1995-2003";#N/A,#N/A,FALSE,"GASTOS1995-2003"}</definedName>
    <definedName name="wrn.PROYEC." hidden="1">{#N/A,#N/A,FALSE,"GRAFICO";#N/A,#N/A,FALSE,"CAJA (2)";#N/A,#N/A,FALSE,"TERCEROS-PROMEDIO";#N/A,#N/A,FALSE,"CAJA";#N/A,#N/A,FALSE,"INGRESOS1995-2003";#N/A,#N/A,FALSE,"GASTOS1995-2003"}</definedName>
    <definedName name="wrn.SENCILLO." localSheetId="10" hidden="1">{"PYGS",#N/A,FALSE,"PYG";"ACTIS",#N/A,FALSE,"BCE_GRAL-ACTIVO";"PASIS",#N/A,FALSE,"BCE_GRAL-PASIVO-PATRIM";"CAJAS",#N/A,FALSE,"CAJA"}</definedName>
    <definedName name="wrn.SENCILLO." hidden="1">{"PYGS",#N/A,FALSE,"PYG";"ACTIS",#N/A,FALSE,"BCE_GRAL-ACTIVO";"PASIS",#N/A,FALSE,"BCE_GRAL-PASIVO-PATRIM";"CAJAS",#N/A,FALSE,"CAJA"}</definedName>
    <definedName name="wrn.TOTAL." localSheetId="10" hidden="1">{"PYGT",#N/A,FALSE,"PYG";"ACTIT",#N/A,FALSE,"BCE_GRAL-ACTIVO";"PASIT",#N/A,FALSE,"BCE_GRAL-PASIVO-PATRIM";"CAJAT",#N/A,FALSE,"CAJA"}</definedName>
    <definedName name="wrn.TOTAL." hidden="1">{"PYGT",#N/A,FALSE,"PYG";"ACTIT",#N/A,FALSE,"BCE_GRAL-ACTIVO";"PASIT",#N/A,FALSE,"BCE_GRAL-PASIVO-PATRIM";"CAJAT",#N/A,FALSE,"CAJA"}</definedName>
    <definedName name="Wrn_print._rept_2" localSheetId="9" hidden="1">{#N/A,#N/A,FALSE,"GP";#N/A,#N/A,FALSE,"Summary"}</definedName>
    <definedName name="Wrn_print._rept_2" localSheetId="10" hidden="1">{#N/A,#N/A,FALSE,"GP";#N/A,#N/A,FALSE,"Summary"}</definedName>
    <definedName name="Wrn_print._rept_2" hidden="1">{#N/A,#N/A,FALSE,"GP";#N/A,#N/A,FALSE,"Summary"}</definedName>
    <definedName name="xa" localSheetId="10" hidden="1">{"'Hoja2'!$A$4:$H$68"}</definedName>
    <definedName name="xa" hidden="1">{"'Hoja2'!$A$4:$H$68"}</definedName>
    <definedName name="xchk" localSheetId="9" hidden="1">{#N/A,#N/A,FALSE,"balance";#N/A,#N/A,FALSE,"PYG"}</definedName>
    <definedName name="xchk" localSheetId="10" hidden="1">{#N/A,#N/A,FALSE,"balance";#N/A,#N/A,FALSE,"PYG"}</definedName>
    <definedName name="xchk" hidden="1">{#N/A,#N/A,FALSE,"balance";#N/A,#N/A,FALSE,"PYG"}</definedName>
    <definedName name="XEROS" localSheetId="10" hidden="1">{#N/A,#N/A,FALSE,"Aging Summary";#N/A,#N/A,FALSE,"Ratio Analysis";#N/A,#N/A,FALSE,"Test 120 Day Accts";#N/A,#N/A,FALSE,"Tickmarks"}</definedName>
    <definedName name="XEROS" hidden="1">{#N/A,#N/A,FALSE,"Aging Summary";#N/A,#N/A,FALSE,"Ratio Analysis";#N/A,#N/A,FALSE,"Test 120 Day Accts";#N/A,#N/A,FALSE,"Tickmarks"}</definedName>
    <definedName name="XIOMARA" localSheetId="10" hidden="1">{"PYGS",#N/A,FALSE,"PYG";"ACTIS",#N/A,FALSE,"BCE_GRAL-ACTIVO";"PASIS",#N/A,FALSE,"BCE_GRAL-PASIVO-PATRIM";"CAJAS",#N/A,FALSE,"CAJA"}</definedName>
    <definedName name="XIOMARA" hidden="1">{"PYGS",#N/A,FALSE,"PYG";"ACTIS",#N/A,FALSE,"BCE_GRAL-ACTIVO";"PASIS",#N/A,FALSE,"BCE_GRAL-PASIVO-PATRIM";"CAJAS",#N/A,FALSE,"CAJA"}</definedName>
    <definedName name="XION" localSheetId="10" hidden="1">{#N/A,#N/A,FALSE,"Aging Summary";#N/A,#N/A,FALSE,"Ratio Analysis";#N/A,#N/A,FALSE,"Test 120 Day Accts";#N/A,#N/A,FALSE,"Tickmarks"}</definedName>
    <definedName name="XION" hidden="1">{#N/A,#N/A,FALSE,"Aging Summary";#N/A,#N/A,FALSE,"Ratio Analysis";#N/A,#N/A,FALSE,"Test 120 Day Accts";#N/A,#N/A,FALSE,"Tickmarks"}</definedName>
    <definedName name="XREF_COLUMN_1" hidden="1">[9]PPC1!$F:$F</definedName>
    <definedName name="XREF_COLUMN_2" hidden="1">[9]Lead!$L:$L</definedName>
    <definedName name="XREF_COLUMN_3" hidden="1">[9]PPC2!$F:$F</definedName>
    <definedName name="XREF_COLUMN_4" hidden="1">[9]Lead!$Q:$Q</definedName>
    <definedName name="XRefActiveRow" hidden="1">[9]XREF!$A$6</definedName>
    <definedName name="XRefColumnsCount" hidden="1">4</definedName>
    <definedName name="XRefCopy1" hidden="1">[9]PPC1!$E$27983</definedName>
    <definedName name="XRefCopy1Row" hidden="1">[9]XREF!$2:$2</definedName>
    <definedName name="XRefCopy2" hidden="1">[9]Lead!$P$39</definedName>
    <definedName name="XRefCopy3" hidden="1">[9]PPC2!$E$56</definedName>
    <definedName name="XRefCopy3Row" hidden="1">[9]XREF!$4:$4</definedName>
    <definedName name="XRefCopyRangeCount" hidden="1">3</definedName>
    <definedName name="XRefPaste1" hidden="1">[9]Lead!$K$16</definedName>
    <definedName name="XRefPaste1Row" hidden="1">[9]XREF!$3:$3</definedName>
    <definedName name="XRefPaste2" hidden="1">[9]Lead!$P$39</definedName>
    <definedName name="XRefPaste2Row" hidden="1">[9]XREF!$5:$5</definedName>
    <definedName name="XRefPasteRangeCount" hidden="1">2</definedName>
    <definedName name="XXX" localSheetId="9" hidden="1">{#N/A,#N/A,FALSE,"balance";#N/A,#N/A,FALSE,"PYG"}</definedName>
    <definedName name="XXX" localSheetId="10" hidden="1">{#N/A,#N/A,FALSE,"balance";#N/A,#N/A,FALSE,"PYG"}</definedName>
    <definedName name="XXX" hidden="1">{#N/A,#N/A,FALSE,"balance";#N/A,#N/A,FALSE,"PYG"}</definedName>
    <definedName name="XXXDE" localSheetId="10" hidden="1">{#N/A,#N/A,FALSE,"Aging Summary";#N/A,#N/A,FALSE,"Ratio Analysis";#N/A,#N/A,FALSE,"Test 120 Day Accts";#N/A,#N/A,FALSE,"Tickmarks"}</definedName>
    <definedName name="XXXDE" hidden="1">{#N/A,#N/A,FALSE,"Aging Summary";#N/A,#N/A,FALSE,"Ratio Analysis";#N/A,#N/A,FALSE,"Test 120 Day Accts";#N/A,#N/A,FALSE,"Tickmarks"}</definedName>
    <definedName name="XXXX" localSheetId="10" hidden="1">{#N/A,#N/A,FALSE,"Aging Summary";#N/A,#N/A,FALSE,"Ratio Analysis";#N/A,#N/A,FALSE,"Test 120 Day Accts";#N/A,#N/A,FALSE,"Tickmarks"}</definedName>
    <definedName name="XXXX" hidden="1">{#N/A,#N/A,FALSE,"Aging Summary";#N/A,#N/A,FALSE,"Ratio Analysis";#N/A,#N/A,FALSE,"Test 120 Day Accts";#N/A,#N/A,FALSE,"Tickmarks"}</definedName>
    <definedName name="xxxxxx" localSheetId="10" hidden="1">{#N/A,#N/A,FALSE,"Aging Summary";#N/A,#N/A,FALSE,"Ratio Analysis";#N/A,#N/A,FALSE,"Test 120 Day Accts";#N/A,#N/A,FALSE,"Tickmarks"}</definedName>
    <definedName name="xxxxxx" hidden="1">{#N/A,#N/A,FALSE,"Aging Summary";#N/A,#N/A,FALSE,"Ratio Analysis";#N/A,#N/A,FALSE,"Test 120 Day Accts";#N/A,#N/A,FALSE,"Tickmarks"}</definedName>
    <definedName name="xxxxxxxxxxxx" localSheetId="10" hidden="1">{#N/A,#N/A,FALSE,"Aging Summary";#N/A,#N/A,FALSE,"Ratio Analysis";#N/A,#N/A,FALSE,"Test 120 Day Accts";#N/A,#N/A,FALSE,"Tickmarks"}</definedName>
    <definedName name="xxxxxxxxxxxx" hidden="1">{#N/A,#N/A,FALSE,"Aging Summary";#N/A,#N/A,FALSE,"Ratio Analysis";#N/A,#N/A,FALSE,"Test 120 Day Accts";#N/A,#N/A,FALSE,"Tickmarks"}</definedName>
    <definedName name="xxxzsd" localSheetId="10" hidden="1">{#N/A,#N/A,FALSE,"Aging Summary";#N/A,#N/A,FALSE,"Ratio Analysis";#N/A,#N/A,FALSE,"Test 120 Day Accts";#N/A,#N/A,FALSE,"Tickmarks"}</definedName>
    <definedName name="xxxzsd" hidden="1">{#N/A,#N/A,FALSE,"Aging Summary";#N/A,#N/A,FALSE,"Ratio Analysis";#N/A,#N/A,FALSE,"Test 120 Day Accts";#N/A,#N/A,FALSE,"Tickmarks"}</definedName>
    <definedName name="xz" localSheetId="10" hidden="1">{"PYGS",#N/A,FALSE,"PYG";"ACTIS",#N/A,FALSE,"BCE_GRAL-ACTIVO";"PASIS",#N/A,FALSE,"BCE_GRAL-PASIVO-PATRIM";"CAJAS",#N/A,FALSE,"CAJA"}</definedName>
    <definedName name="xz" hidden="1">{"PYGS",#N/A,FALSE,"PYG";"ACTIS",#N/A,FALSE,"BCE_GRAL-ACTIVO";"PASIS",#N/A,FALSE,"BCE_GRAL-PASIVO-PATRIM";"CAJAS",#N/A,FALSE,"CAJA"}</definedName>
    <definedName name="xzc" localSheetId="10" hidden="1">{#N/A,#N/A,FALSE,"Aging Summary";#N/A,#N/A,FALSE,"Ratio Analysis";#N/A,#N/A,FALSE,"Test 120 Day Accts";#N/A,#N/A,FALSE,"Tickmarks"}</definedName>
    <definedName name="xzc" hidden="1">{#N/A,#N/A,FALSE,"Aging Summary";#N/A,#N/A,FALSE,"Ratio Analysis";#N/A,#N/A,FALSE,"Test 120 Day Accts";#N/A,#N/A,FALSE,"Tickmarks"}</definedName>
    <definedName name="yema" localSheetId="10" hidden="1">{#N/A,#N/A,FALSE,"Aging Summary";#N/A,#N/A,FALSE,"Ratio Analysis";#N/A,#N/A,FALSE,"Test 120 Day Accts";#N/A,#N/A,FALSE,"Tickmarks"}</definedName>
    <definedName name="yema" hidden="1">{#N/A,#N/A,FALSE,"Aging Summary";#N/A,#N/A,FALSE,"Ratio Analysis";#N/A,#N/A,FALSE,"Test 120 Day Accts";#N/A,#N/A,FALSE,"Tickmarks"}</definedName>
    <definedName name="YO" localSheetId="10" hidden="1">{#N/A,#N/A,FALSE,"GRAFICO";#N/A,#N/A,FALSE,"CAJA (2)";#N/A,#N/A,FALSE,"TERCEROS-PROMEDIO";#N/A,#N/A,FALSE,"CAJA";#N/A,#N/A,FALSE,"INGRESOS1995-2003";#N/A,#N/A,FALSE,"GASTOS1995-2003"}</definedName>
    <definedName name="YO" hidden="1">{#N/A,#N/A,FALSE,"GRAFICO";#N/A,#N/A,FALSE,"CAJA (2)";#N/A,#N/A,FALSE,"TERCEROS-PROMEDIO";#N/A,#N/A,FALSE,"CAJA";#N/A,#N/A,FALSE,"INGRESOS1995-2003";#N/A,#N/A,FALSE,"GASTOS1995-2003"}</definedName>
    <definedName name="yt" localSheetId="10" hidden="1">{#N/A,#N/A,FALSE,"Aging Summary";#N/A,#N/A,FALSE,"Ratio Analysis";#N/A,#N/A,FALSE,"Test 120 Day Accts";#N/A,#N/A,FALSE,"Tickmarks"}</definedName>
    <definedName name="yt" hidden="1">{#N/A,#N/A,FALSE,"Aging Summary";#N/A,#N/A,FALSE,"Ratio Analysis";#N/A,#N/A,FALSE,"Test 120 Day Accts";#N/A,#N/A,FALSE,"Tickmarks"}</definedName>
    <definedName name="YTG" localSheetId="10" hidden="1">{#N/A,#N/A,FALSE,"Aging Summary";#N/A,#N/A,FALSE,"Ratio Analysis";#N/A,#N/A,FALSE,"Test 120 Day Accts";#N/A,#N/A,FALSE,"Tickmarks"}</definedName>
    <definedName name="YTG" hidden="1">{#N/A,#N/A,FALSE,"Aging Summary";#N/A,#N/A,FALSE,"Ratio Analysis";#N/A,#N/A,FALSE,"Test 120 Day Accts";#N/A,#N/A,FALSE,"Tickmarks"}</definedName>
    <definedName name="YTR" localSheetId="10" hidden="1">{#N/A,#N/A,FALSE,"Aging Summary";#N/A,#N/A,FALSE,"Ratio Analysis";#N/A,#N/A,FALSE,"Test 120 Day Accts";#N/A,#N/A,FALSE,"Tickmarks"}</definedName>
    <definedName name="YTR" hidden="1">{#N/A,#N/A,FALSE,"Aging Summary";#N/A,#N/A,FALSE,"Ratio Analysis";#N/A,#N/A,FALSE,"Test 120 Day Accts";#N/A,#N/A,FALSE,"Tickmarks"}</definedName>
    <definedName name="YTYR" localSheetId="10" hidden="1">{#N/A,#N/A,FALSE,"Aging Summary";#N/A,#N/A,FALSE,"Ratio Analysis";#N/A,#N/A,FALSE,"Test 120 Day Accts";#N/A,#N/A,FALSE,"Tickmarks"}</definedName>
    <definedName name="YTYR" hidden="1">{#N/A,#N/A,FALSE,"Aging Summary";#N/A,#N/A,FALSE,"Ratio Analysis";#N/A,#N/A,FALSE,"Test 120 Day Accts";#N/A,#N/A,FALSE,"Tickmarks"}</definedName>
    <definedName name="yuftfyf" localSheetId="9" hidden="1">{#N/A,#N/A,FALSE,"balance";#N/A,#N/A,FALSE,"PYG"}</definedName>
    <definedName name="yuftfyf" localSheetId="10" hidden="1">{#N/A,#N/A,FALSE,"balance";#N/A,#N/A,FALSE,"PYG"}</definedName>
    <definedName name="yuftfyf" hidden="1">{#N/A,#N/A,FALSE,"balance";#N/A,#N/A,FALSE,"PYG"}</definedName>
    <definedName name="yugdnk" localSheetId="9" hidden="1">{#N/A,#N/A,FALSE,"balance";#N/A,#N/A,FALSE,"PYG"}</definedName>
    <definedName name="yugdnk" localSheetId="10" hidden="1">{#N/A,#N/A,FALSE,"balance";#N/A,#N/A,FALSE,"PYG"}</definedName>
    <definedName name="yugdnk" hidden="1">{#N/A,#N/A,FALSE,"balance";#N/A,#N/A,FALSE,"PYG"}</definedName>
    <definedName name="yute" localSheetId="10" hidden="1">{"PYGT",#N/A,FALSE,"PYG";"ACTIT",#N/A,FALSE,"BCE_GRAL-ACTIVO";"PASIT",#N/A,FALSE,"BCE_GRAL-PASIVO-PATRIM";"CAJAT",#N/A,FALSE,"CAJA"}</definedName>
    <definedName name="yute" hidden="1">{"PYGT",#N/A,FALSE,"PYG";"ACTIT",#N/A,FALSE,"BCE_GRAL-ACTIVO";"PASIT",#N/A,FALSE,"BCE_GRAL-PASIVO-PATRIM";"CAJAT",#N/A,FALSE,"CAJA"}</definedName>
    <definedName name="YY" localSheetId="10" hidden="1">{#N/A,#N/A,FALSE,"GRAFICO";#N/A,#N/A,FALSE,"CAJA (2)";#N/A,#N/A,FALSE,"TERCEROS-PROMEDIO";#N/A,#N/A,FALSE,"CAJA";#N/A,#N/A,FALSE,"INGRESOS1995-2003";#N/A,#N/A,FALSE,"GASTOS1995-2003"}</definedName>
    <definedName name="YY" hidden="1">{#N/A,#N/A,FALSE,"GRAFICO";#N/A,#N/A,FALSE,"CAJA (2)";#N/A,#N/A,FALSE,"TERCEROS-PROMEDIO";#N/A,#N/A,FALSE,"CAJA";#N/A,#N/A,FALSE,"INGRESOS1995-2003";#N/A,#N/A,FALSE,"GASTOS1995-2003"}</definedName>
    <definedName name="yyy" localSheetId="10" hidden="1">{#N/A,#N/A,FALSE,"Aging Summary";#N/A,#N/A,FALSE,"Ratio Analysis";#N/A,#N/A,FALSE,"Test 120 Day Accts";#N/A,#N/A,FALSE,"Tickmarks"}</definedName>
    <definedName name="yyy" hidden="1">{#N/A,#N/A,FALSE,"Aging Summary";#N/A,#N/A,FALSE,"Ratio Analysis";#N/A,#N/A,FALSE,"Test 120 Day Accts";#N/A,#N/A,FALSE,"Tickmarks"}</definedName>
    <definedName name="YYYY" localSheetId="10" hidden="1">{#N/A,#N/A,FALSE,"GRAFICO";#N/A,#N/A,FALSE,"CAJA (2)";#N/A,#N/A,FALSE,"TERCEROS-PROMEDIO";#N/A,#N/A,FALSE,"CAJA";#N/A,#N/A,FALSE,"INGRESOS1995-2003";#N/A,#N/A,FALSE,"GASTOS1995-2003"}</definedName>
    <definedName name="YYYY" hidden="1">{#N/A,#N/A,FALSE,"GRAFICO";#N/A,#N/A,FALSE,"CAJA (2)";#N/A,#N/A,FALSE,"TERCEROS-PROMEDIO";#N/A,#N/A,FALSE,"CAJA";#N/A,#N/A,FALSE,"INGRESOS1995-2003";#N/A,#N/A,FALSE,"GASTOS1995-2003"}</definedName>
    <definedName name="yyyyyy" localSheetId="10" hidden="1">{"PYGS",#N/A,FALSE,"PYG";"ACTIS",#N/A,FALSE,"BCE_GRAL-ACTIVO";"PASIS",#N/A,FALSE,"BCE_GRAL-PASIVO-PATRIM";"CAJAS",#N/A,FALSE,"CAJA"}</definedName>
    <definedName name="yyyyyy" hidden="1">{"PYGS",#N/A,FALSE,"PYG";"ACTIS",#N/A,FALSE,"BCE_GRAL-ACTIVO";"PASIS",#N/A,FALSE,"BCE_GRAL-PASIVO-PATRIM";"CAJAS",#N/A,FALSE,"CAJA"}</definedName>
    <definedName name="yyyyyyyyyyyyyyy" localSheetId="10" hidden="1">{#N/A,#N/A,FALSE,"GRAFICO";#N/A,#N/A,FALSE,"CAJA (2)";#N/A,#N/A,FALSE,"TERCEROS-PROMEDIO";#N/A,#N/A,FALSE,"CAJA";#N/A,#N/A,FALSE,"INGRESOS1995-2003";#N/A,#N/A,FALSE,"GASTOS1995-2003"}</definedName>
    <definedName name="yyyyyyyyyyyyyyy" hidden="1">{#N/A,#N/A,FALSE,"GRAFICO";#N/A,#N/A,FALSE,"CAJA (2)";#N/A,#N/A,FALSE,"TERCEROS-PROMEDIO";#N/A,#N/A,FALSE,"CAJA";#N/A,#N/A,FALSE,"INGRESOS1995-2003";#N/A,#N/A,FALSE,"GASTOS1995-2003"}</definedName>
    <definedName name="zzzz" localSheetId="10" hidden="1">{#N/A,#N/A,FALSE,"Aging Summary";#N/A,#N/A,FALSE,"Ratio Analysis";#N/A,#N/A,FALSE,"Test 120 Day Accts";#N/A,#N/A,FALSE,"Tickmarks"}</definedName>
    <definedName name="zzzz" hidden="1">{#N/A,#N/A,FALSE,"Aging Summary";#N/A,#N/A,FALSE,"Ratio Analysis";#N/A,#N/A,FALSE,"Test 120 Day Accts";#N/A,#N/A,FALSE,"Tickmarks"}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39" i="3" l="1"/>
  <c r="AK15" i="3"/>
  <c r="E10" i="15" l="1"/>
  <c r="E11" i="15"/>
  <c r="E13" i="15"/>
  <c r="E12" i="15"/>
  <c r="E14" i="15"/>
  <c r="E9" i="15"/>
  <c r="F9" i="15"/>
  <c r="AB20" i="5" l="1"/>
  <c r="AB21" i="5"/>
  <c r="AB19" i="5"/>
  <c r="AB71" i="5" l="1"/>
  <c r="AB56" i="5"/>
  <c r="AB32" i="5"/>
  <c r="R265" i="12"/>
  <c r="Q265" i="12"/>
  <c r="Q262" i="12"/>
  <c r="R262" i="12"/>
  <c r="R254" i="12"/>
  <c r="R253" i="12"/>
  <c r="R250" i="12"/>
  <c r="R245" i="12"/>
  <c r="R240" i="12"/>
  <c r="R239" i="12"/>
  <c r="R236" i="12"/>
  <c r="R107" i="12"/>
  <c r="R110" i="12" s="1"/>
  <c r="R229" i="12"/>
  <c r="R100" i="12"/>
  <c r="R88" i="12"/>
  <c r="R85" i="12"/>
  <c r="P66" i="12"/>
  <c r="Q66" i="12"/>
  <c r="R62" i="12"/>
  <c r="R65" i="12" s="1"/>
  <c r="R66" i="12" s="1"/>
  <c r="R54" i="12"/>
  <c r="R42" i="12"/>
  <c r="R14" i="12"/>
  <c r="R17" i="12" s="1"/>
  <c r="AS95" i="6"/>
  <c r="AS96" i="6"/>
  <c r="R45" i="12" l="1"/>
  <c r="R117" i="12"/>
  <c r="R122" i="12" s="1"/>
  <c r="R125" i="12" s="1"/>
  <c r="R111" i="12"/>
  <c r="R71" i="12"/>
  <c r="R76" i="12" s="1"/>
  <c r="R79" i="12" s="1"/>
  <c r="R24" i="12"/>
  <c r="R29" i="12" s="1"/>
  <c r="R32" i="12" s="1"/>
  <c r="R33" i="12" s="1"/>
  <c r="R18" i="12"/>
  <c r="R130" i="12" l="1"/>
  <c r="R131" i="12" s="1"/>
  <c r="R126" i="12"/>
  <c r="AS12" i="6"/>
  <c r="L28" i="4"/>
  <c r="L11" i="4"/>
  <c r="AK18" i="3"/>
  <c r="AK19" i="3" s="1"/>
  <c r="AK42" i="3"/>
  <c r="AK25" i="3" l="1"/>
  <c r="AK30" i="3" s="1"/>
  <c r="AK34" i="3" s="1"/>
  <c r="AK115" i="3"/>
  <c r="AK103" i="3"/>
  <c r="AK92" i="3"/>
  <c r="AK94" i="3" s="1"/>
  <c r="AK79" i="3"/>
  <c r="AK65" i="3"/>
  <c r="R7" i="12"/>
  <c r="AR65" i="6"/>
  <c r="AR63" i="6"/>
  <c r="AR59" i="6"/>
  <c r="AR55" i="6"/>
  <c r="AR49" i="6"/>
  <c r="AR40" i="6"/>
  <c r="AA44" i="5"/>
  <c r="AA48" i="5" s="1"/>
  <c r="AA50" i="5" s="1"/>
  <c r="AA41" i="5"/>
  <c r="AK116" i="3" l="1"/>
  <c r="AK118" i="3" s="1"/>
  <c r="AK81" i="3"/>
  <c r="AR95" i="6"/>
  <c r="AA56" i="5" l="1"/>
  <c r="AA32" i="5"/>
  <c r="AA71" i="5"/>
  <c r="AR96" i="6" l="1"/>
  <c r="AP69" i="6"/>
  <c r="AR12" i="6" l="1"/>
  <c r="F14" i="15" l="1"/>
  <c r="F13" i="15"/>
  <c r="F12" i="15"/>
  <c r="F11" i="15"/>
  <c r="F10" i="15"/>
  <c r="L14" i="4"/>
  <c r="L20" i="4" s="1"/>
  <c r="L29" i="4" l="1"/>
  <c r="L31" i="4" s="1"/>
  <c r="AJ115" i="3"/>
  <c r="AJ103" i="3"/>
  <c r="AJ94" i="3"/>
  <c r="AJ79" i="3"/>
  <c r="AJ65" i="3"/>
  <c r="Q239" i="12"/>
  <c r="Q245" i="12" s="1"/>
  <c r="Q250" i="12" s="1"/>
  <c r="Q253" i="12" s="1"/>
  <c r="Q254" i="12" s="1"/>
  <c r="Q236" i="12"/>
  <c r="Q131" i="12"/>
  <c r="Q111" i="12"/>
  <c r="Q107" i="12"/>
  <c r="Q110" i="12" s="1"/>
  <c r="Q117" i="12" s="1"/>
  <c r="Q122" i="12" s="1"/>
  <c r="Q125" i="12" s="1"/>
  <c r="Q126" i="12" s="1"/>
  <c r="Q100" i="12"/>
  <c r="Q85" i="12"/>
  <c r="Q83" i="12"/>
  <c r="Q79" i="12"/>
  <c r="Q76" i="12"/>
  <c r="Q71" i="12"/>
  <c r="Q65" i="12"/>
  <c r="Q62" i="12"/>
  <c r="Q54" i="12"/>
  <c r="Q42" i="12"/>
  <c r="Q14" i="12"/>
  <c r="Q17" i="12" s="1"/>
  <c r="Q18" i="12" s="1"/>
  <c r="Q7" i="12"/>
  <c r="AJ39" i="3"/>
  <c r="AI19" i="3"/>
  <c r="AJ15" i="3"/>
  <c r="AJ42" i="3" s="1"/>
  <c r="F63" i="8"/>
  <c r="G64" i="8"/>
  <c r="G70" i="8" s="1"/>
  <c r="AJ81" i="3" l="1"/>
  <c r="AJ116" i="3"/>
  <c r="AJ118" i="3" s="1"/>
  <c r="Q240" i="12"/>
  <c r="Q24" i="12"/>
  <c r="Q29" i="12" s="1"/>
  <c r="Q32" i="12" s="1"/>
  <c r="Q33" i="12" s="1"/>
  <c r="AJ18" i="3"/>
  <c r="E63" i="8"/>
  <c r="AJ25" i="3" l="1"/>
  <c r="AJ30" i="3" s="1"/>
  <c r="AJ34" i="3" s="1"/>
  <c r="AJ19" i="3"/>
  <c r="M12" i="14"/>
  <c r="M10" i="14"/>
  <c r="M9" i="14"/>
  <c r="M8" i="14"/>
  <c r="M7" i="14"/>
  <c r="G39" i="15" l="1"/>
  <c r="G25" i="15"/>
  <c r="AQ96" i="6" l="1"/>
  <c r="AQ95" i="6"/>
  <c r="AQ65" i="6" l="1"/>
  <c r="AP49" i="6"/>
  <c r="AQ49" i="6"/>
  <c r="AQ36" i="6" s="1"/>
  <c r="AQ40" i="6"/>
  <c r="AI65" i="3" l="1"/>
  <c r="AI81" i="3" s="1"/>
  <c r="AI92" i="3"/>
  <c r="AI94" i="3" s="1"/>
  <c r="Z71" i="5"/>
  <c r="Z56" i="5"/>
  <c r="Z50" i="5"/>
  <c r="Z41" i="5"/>
  <c r="Z32" i="5"/>
  <c r="K28" i="4"/>
  <c r="K11" i="4"/>
  <c r="K14" i="4"/>
  <c r="P265" i="12"/>
  <c r="P262" i="12"/>
  <c r="O254" i="12"/>
  <c r="P254" i="12"/>
  <c r="O240" i="12"/>
  <c r="P240" i="12"/>
  <c r="O134" i="12"/>
  <c r="P131" i="12"/>
  <c r="N111" i="12"/>
  <c r="M111" i="12"/>
  <c r="O111" i="12"/>
  <c r="P107" i="12"/>
  <c r="P110" i="12" s="1"/>
  <c r="P54" i="12"/>
  <c r="O45" i="12"/>
  <c r="P45" i="12"/>
  <c r="P42" i="12"/>
  <c r="P24" i="12"/>
  <c r="P29" i="12" s="1"/>
  <c r="P32" i="12" s="1"/>
  <c r="P33" i="12" s="1"/>
  <c r="P18" i="12"/>
  <c r="P7" i="12"/>
  <c r="P100" i="12" s="1"/>
  <c r="AI115" i="3"/>
  <c r="AH103" i="3"/>
  <c r="AI103" i="3"/>
  <c r="AG42" i="3"/>
  <c r="AH42" i="3"/>
  <c r="AI42" i="3"/>
  <c r="S39" i="15"/>
  <c r="S25" i="15"/>
  <c r="G45" i="8"/>
  <c r="G44" i="8"/>
  <c r="K44" i="8"/>
  <c r="K29" i="4" l="1"/>
  <c r="K31" i="4" s="1"/>
  <c r="K20" i="4"/>
  <c r="P117" i="12"/>
  <c r="P122" i="12" s="1"/>
  <c r="P125" i="12" s="1"/>
  <c r="P126" i="12" s="1"/>
  <c r="P111" i="12"/>
  <c r="P134" i="12"/>
  <c r="P229" i="12"/>
  <c r="AI116" i="3"/>
  <c r="AI118" i="3" s="1"/>
  <c r="X71" i="5"/>
  <c r="Y71" i="5"/>
  <c r="O33" i="12" l="1"/>
  <c r="O32" i="12"/>
  <c r="O24" i="12"/>
  <c r="O29" i="12" s="1"/>
  <c r="O18" i="12"/>
  <c r="H25" i="15"/>
  <c r="H39" i="15" l="1"/>
  <c r="Y56" i="5"/>
  <c r="Y50" i="5"/>
  <c r="Y41" i="5"/>
  <c r="Y32" i="5"/>
  <c r="O265" i="12"/>
  <c r="O262" i="12"/>
  <c r="O239" i="12"/>
  <c r="O245" i="12" s="1"/>
  <c r="O250" i="12" s="1"/>
  <c r="O253" i="12" s="1"/>
  <c r="O236" i="12"/>
  <c r="O131" i="12"/>
  <c r="O110" i="12"/>
  <c r="O117" i="12" s="1"/>
  <c r="O122" i="12" s="1"/>
  <c r="O125" i="12" s="1"/>
  <c r="O126" i="12" s="1"/>
  <c r="O107" i="12"/>
  <c r="O85" i="12"/>
  <c r="O65" i="12"/>
  <c r="O71" i="12" s="1"/>
  <c r="O76" i="12" s="1"/>
  <c r="O79" i="12" s="1"/>
  <c r="O54" i="12"/>
  <c r="O66" i="12" l="1"/>
  <c r="O42" i="12"/>
  <c r="O7" i="12" l="1"/>
  <c r="AH115" i="3"/>
  <c r="AH116" i="3" s="1"/>
  <c r="AH92" i="3"/>
  <c r="AH94" i="3" s="1"/>
  <c r="AH79" i="3"/>
  <c r="AH65" i="3"/>
  <c r="AP95" i="6"/>
  <c r="AP96" i="6"/>
  <c r="AP68" i="6"/>
  <c r="C52" i="16"/>
  <c r="E50" i="16"/>
  <c r="B50" i="16"/>
  <c r="B49" i="16"/>
  <c r="D48" i="16"/>
  <c r="E48" i="16" s="1"/>
  <c r="D45" i="16"/>
  <c r="C36" i="16"/>
  <c r="E34" i="16"/>
  <c r="D34" i="16"/>
  <c r="B34" i="16"/>
  <c r="B33" i="16"/>
  <c r="D32" i="16"/>
  <c r="E32" i="16" s="1"/>
  <c r="E30" i="16"/>
  <c r="D30" i="16"/>
  <c r="D23" i="16"/>
  <c r="E23" i="16" s="1"/>
  <c r="E19" i="16"/>
  <c r="D19" i="16"/>
  <c r="C16" i="16"/>
  <c r="D6" i="16"/>
  <c r="E6" i="16" s="1"/>
  <c r="AH81" i="3" l="1"/>
  <c r="AH118" i="3"/>
  <c r="O229" i="12"/>
  <c r="O100" i="12"/>
  <c r="D29" i="16"/>
  <c r="E17" i="16"/>
  <c r="D46" i="16"/>
  <c r="D47" i="16" s="1"/>
  <c r="E47" i="16" s="1"/>
  <c r="D16" i="16"/>
  <c r="E16" i="16" s="1"/>
  <c r="E20" i="16" s="1"/>
  <c r="D17" i="16"/>
  <c r="D36" i="16"/>
  <c r="D52" i="16"/>
  <c r="E45" i="16"/>
  <c r="D49" i="16"/>
  <c r="E52" i="16"/>
  <c r="E46" i="16"/>
  <c r="E36" i="16"/>
  <c r="D51" i="16" l="1"/>
  <c r="D54" i="16" s="1"/>
  <c r="D31" i="16"/>
  <c r="E31" i="16" s="1"/>
  <c r="D33" i="16"/>
  <c r="E29" i="16"/>
  <c r="E33" i="16" s="1"/>
  <c r="D18" i="16"/>
  <c r="E18" i="16" s="1"/>
  <c r="D20" i="16"/>
  <c r="E49" i="16"/>
  <c r="E51" i="16" s="1"/>
  <c r="E54" i="16" s="1"/>
  <c r="D22" i="16" l="1"/>
  <c r="D25" i="16" s="1"/>
  <c r="E35" i="16"/>
  <c r="E38" i="16" s="1"/>
  <c r="D35" i="16"/>
  <c r="D38" i="16" s="1"/>
  <c r="E22" i="16"/>
  <c r="E25" i="16" s="1"/>
  <c r="AP65" i="6" l="1"/>
  <c r="AO65" i="6"/>
  <c r="AN65" i="6"/>
  <c r="AM65" i="6"/>
  <c r="AL65" i="6"/>
  <c r="AK65" i="6"/>
  <c r="AJ65" i="6"/>
  <c r="AI65" i="6"/>
  <c r="AH65" i="6"/>
  <c r="AG65" i="6"/>
  <c r="AF65" i="6"/>
  <c r="AE65" i="6"/>
  <c r="AD65" i="6"/>
  <c r="AC65" i="6"/>
  <c r="AB65" i="6"/>
  <c r="AA65" i="6"/>
  <c r="Z65" i="6"/>
  <c r="Y65" i="6"/>
  <c r="X65" i="6"/>
  <c r="W65" i="6"/>
  <c r="V65" i="6"/>
  <c r="U65" i="6"/>
  <c r="T65" i="6"/>
  <c r="S65" i="6"/>
  <c r="R65" i="6"/>
  <c r="Q65" i="6"/>
  <c r="P65" i="6"/>
  <c r="O65" i="6"/>
  <c r="N65" i="6"/>
  <c r="M65" i="6"/>
  <c r="L65" i="6"/>
  <c r="K65" i="6"/>
  <c r="J65" i="6"/>
  <c r="I65" i="6"/>
  <c r="H65" i="6"/>
  <c r="G65" i="6"/>
  <c r="F65" i="6"/>
  <c r="E65" i="6"/>
  <c r="D65" i="6"/>
  <c r="AP36" i="6"/>
  <c r="AO49" i="6"/>
  <c r="AO36" i="6" s="1"/>
  <c r="AN49" i="6"/>
  <c r="AN36" i="6" s="1"/>
  <c r="AM49" i="6"/>
  <c r="AM36" i="6" s="1"/>
  <c r="AL49" i="6"/>
  <c r="AL36" i="6" s="1"/>
  <c r="AK49" i="6"/>
  <c r="AK36" i="6" s="1"/>
  <c r="AJ49" i="6"/>
  <c r="AJ36" i="6" s="1"/>
  <c r="AI49" i="6"/>
  <c r="AI36" i="6" s="1"/>
  <c r="AH49" i="6"/>
  <c r="AH36" i="6" s="1"/>
  <c r="AG49" i="6"/>
  <c r="AG36" i="6" s="1"/>
  <c r="AF49" i="6"/>
  <c r="AF36" i="6" s="1"/>
  <c r="AE49" i="6"/>
  <c r="AE36" i="6" s="1"/>
  <c r="AD49" i="6"/>
  <c r="AD36" i="6" s="1"/>
  <c r="AC49" i="6"/>
  <c r="AC36" i="6" s="1"/>
  <c r="AB49" i="6"/>
  <c r="AB36" i="6" s="1"/>
  <c r="AA49" i="6"/>
  <c r="AA36" i="6" s="1"/>
  <c r="Z49" i="6"/>
  <c r="Z36" i="6" s="1"/>
  <c r="Y49" i="6"/>
  <c r="Y36" i="6" s="1"/>
  <c r="X49" i="6"/>
  <c r="X36" i="6" s="1"/>
  <c r="W49" i="6"/>
  <c r="W36" i="6" s="1"/>
  <c r="V49" i="6"/>
  <c r="V36" i="6" s="1"/>
  <c r="U49" i="6"/>
  <c r="U36" i="6" s="1"/>
  <c r="T49" i="6"/>
  <c r="T36" i="6" s="1"/>
  <c r="S49" i="6"/>
  <c r="S36" i="6" s="1"/>
  <c r="R49" i="6"/>
  <c r="R36" i="6" s="1"/>
  <c r="Q49" i="6"/>
  <c r="Q36" i="6" s="1"/>
  <c r="P49" i="6"/>
  <c r="P36" i="6" s="1"/>
  <c r="O49" i="6"/>
  <c r="O36" i="6" s="1"/>
  <c r="N49" i="6"/>
  <c r="N36" i="6" s="1"/>
  <c r="M49" i="6"/>
  <c r="M36" i="6" s="1"/>
  <c r="L49" i="6"/>
  <c r="L36" i="6" s="1"/>
  <c r="K49" i="6"/>
  <c r="K36" i="6" s="1"/>
  <c r="J49" i="6"/>
  <c r="J36" i="6" s="1"/>
  <c r="I49" i="6"/>
  <c r="I36" i="6" s="1"/>
  <c r="H49" i="6"/>
  <c r="H36" i="6" s="1"/>
  <c r="G49" i="6"/>
  <c r="G36" i="6" s="1"/>
  <c r="F49" i="6"/>
  <c r="F36" i="6" s="1"/>
  <c r="E49" i="6"/>
  <c r="E36" i="6" s="1"/>
  <c r="D49" i="6"/>
  <c r="D36" i="6" s="1"/>
  <c r="G47" i="8" l="1"/>
  <c r="AO96" i="6" l="1"/>
  <c r="C29" i="11"/>
  <c r="G7" i="11" s="1"/>
  <c r="F17" i="11"/>
  <c r="I17" i="11" s="1"/>
  <c r="F16" i="11"/>
  <c r="I16" i="11" s="1"/>
  <c r="G12" i="11"/>
  <c r="E12" i="11"/>
  <c r="C8" i="11"/>
  <c r="E7" i="11"/>
  <c r="N236" i="12"/>
  <c r="N265" i="12" s="1"/>
  <c r="I39" i="15"/>
  <c r="I25" i="15"/>
  <c r="E13" i="11" l="1"/>
  <c r="I12" i="11"/>
  <c r="I13" i="11" s="1"/>
  <c r="G13" i="11" s="1"/>
  <c r="E9" i="11"/>
  <c r="I7" i="11"/>
  <c r="F8" i="11"/>
  <c r="I8" i="11" s="1"/>
  <c r="X56" i="5"/>
  <c r="X50" i="5"/>
  <c r="X41" i="5"/>
  <c r="I9" i="11" l="1"/>
  <c r="G9" i="11" s="1"/>
  <c r="X32" i="5"/>
  <c r="AO95" i="6"/>
  <c r="M265" i="12"/>
  <c r="N262" i="12"/>
  <c r="M254" i="12"/>
  <c r="L240" i="12"/>
  <c r="M240" i="12"/>
  <c r="N239" i="12"/>
  <c r="K134" i="12"/>
  <c r="L134" i="12"/>
  <c r="M134" i="12"/>
  <c r="N131" i="12"/>
  <c r="N107" i="12"/>
  <c r="N110" i="12" s="1"/>
  <c r="N117" i="12" s="1"/>
  <c r="N122" i="12" s="1"/>
  <c r="N125" i="12" s="1"/>
  <c r="N126" i="12" s="1"/>
  <c r="N100" i="12"/>
  <c r="N62" i="12"/>
  <c r="N65" i="12" s="1"/>
  <c r="N54" i="12"/>
  <c r="N42" i="12"/>
  <c r="N17" i="12"/>
  <c r="N18" i="12" s="1"/>
  <c r="N14" i="12"/>
  <c r="N45" i="12" s="1"/>
  <c r="N7" i="12"/>
  <c r="N229" i="12" s="1"/>
  <c r="P115" i="3"/>
  <c r="Q115" i="3"/>
  <c r="R115" i="3"/>
  <c r="S115" i="3"/>
  <c r="T115" i="3"/>
  <c r="U115" i="3"/>
  <c r="V115" i="3"/>
  <c r="W115" i="3"/>
  <c r="X115" i="3"/>
  <c r="Y115" i="3"/>
  <c r="Z115" i="3"/>
  <c r="AA115" i="3"/>
  <c r="AB115" i="3"/>
  <c r="AC115" i="3"/>
  <c r="AD115" i="3"/>
  <c r="AE115" i="3"/>
  <c r="AF115" i="3"/>
  <c r="AG115" i="3"/>
  <c r="AG103" i="3"/>
  <c r="AG92" i="3"/>
  <c r="AG94" i="3" s="1"/>
  <c r="AG79" i="3"/>
  <c r="AF79" i="3"/>
  <c r="AG65" i="3"/>
  <c r="AF19" i="3"/>
  <c r="AG19" i="3"/>
  <c r="L39" i="15"/>
  <c r="M39" i="15"/>
  <c r="N39" i="15"/>
  <c r="J39" i="15"/>
  <c r="N25" i="15"/>
  <c r="J25" i="15"/>
  <c r="AG81" i="3" l="1"/>
  <c r="AG116" i="3"/>
  <c r="AG118" i="3" s="1"/>
  <c r="N66" i="12"/>
  <c r="N71" i="12"/>
  <c r="N76" i="12" s="1"/>
  <c r="N79" i="12" s="1"/>
  <c r="N83" i="12" s="1"/>
  <c r="N85" i="12" s="1"/>
  <c r="N134" i="12"/>
  <c r="N24" i="12"/>
  <c r="N29" i="12" s="1"/>
  <c r="N32" i="12" s="1"/>
  <c r="N33" i="12" s="1"/>
  <c r="N245" i="12"/>
  <c r="N250" i="12" s="1"/>
  <c r="N253" i="12" s="1"/>
  <c r="N254" i="12" s="1"/>
  <c r="N240" i="12"/>
  <c r="O50" i="5"/>
  <c r="P50" i="5"/>
  <c r="Q50" i="5"/>
  <c r="R50" i="5"/>
  <c r="S50" i="5"/>
  <c r="T50" i="5"/>
  <c r="U50" i="5"/>
  <c r="V50" i="5"/>
  <c r="W50" i="5"/>
  <c r="W71" i="5" l="1"/>
  <c r="W41" i="5" l="1"/>
  <c r="W32" i="5"/>
  <c r="AN95" i="6"/>
  <c r="AN96" i="6"/>
  <c r="M66" i="12"/>
  <c r="M45" i="12"/>
  <c r="M33" i="12"/>
  <c r="M18" i="12"/>
  <c r="M229" i="12"/>
  <c r="M186" i="12"/>
  <c r="M54" i="12"/>
  <c r="L54" i="12"/>
  <c r="M7" i="12"/>
  <c r="M143" i="12" s="1"/>
  <c r="L7" i="12"/>
  <c r="AE103" i="3"/>
  <c r="AF103" i="3"/>
  <c r="AF116" i="3" s="1"/>
  <c r="AE92" i="3"/>
  <c r="AE94" i="3" s="1"/>
  <c r="AF92" i="3"/>
  <c r="AF94" i="3" s="1"/>
  <c r="AE79" i="3"/>
  <c r="AE65" i="3"/>
  <c r="AF65" i="3"/>
  <c r="AF42" i="3"/>
  <c r="M100" i="12" l="1"/>
  <c r="AE81" i="3"/>
  <c r="AF118" i="3"/>
  <c r="AF81" i="3"/>
  <c r="AE116" i="3"/>
  <c r="AE118" i="3" s="1"/>
  <c r="T39" i="15" l="1"/>
  <c r="O39" i="15"/>
  <c r="P39" i="15"/>
  <c r="Q39" i="15"/>
  <c r="K39" i="15"/>
  <c r="T25" i="15"/>
  <c r="M25" i="15"/>
  <c r="O25" i="15"/>
  <c r="P25" i="15"/>
  <c r="Q25" i="15"/>
  <c r="K25" i="15"/>
  <c r="V71" i="5" l="1"/>
  <c r="V32" i="5" l="1"/>
  <c r="AM95" i="6"/>
  <c r="AM96" i="6"/>
  <c r="J28" i="4"/>
  <c r="J20" i="4"/>
  <c r="L265" i="12"/>
  <c r="L254" i="12"/>
  <c r="L229" i="12"/>
  <c r="L212" i="12"/>
  <c r="L186" i="12"/>
  <c r="L169" i="12"/>
  <c r="L154" i="12"/>
  <c r="L143" i="12"/>
  <c r="L126" i="12"/>
  <c r="L111" i="12"/>
  <c r="L100" i="12"/>
  <c r="L66" i="12"/>
  <c r="L33" i="12"/>
  <c r="L18" i="12"/>
  <c r="AE19" i="3"/>
  <c r="J29" i="4" l="1"/>
  <c r="U39" i="15"/>
  <c r="V39" i="15"/>
  <c r="W39" i="15"/>
  <c r="X39" i="15"/>
  <c r="U25" i="15"/>
  <c r="V25" i="15"/>
  <c r="W25" i="15"/>
  <c r="X25" i="15"/>
  <c r="L25" i="15"/>
  <c r="U71" i="5" l="1"/>
  <c r="U32" i="5"/>
  <c r="AL96" i="6"/>
  <c r="AL95" i="6"/>
  <c r="K265" i="12"/>
  <c r="K254" i="12"/>
  <c r="K240" i="12"/>
  <c r="K229" i="12"/>
  <c r="K212" i="12"/>
  <c r="K186" i="12"/>
  <c r="K169" i="12"/>
  <c r="K154" i="12"/>
  <c r="K143" i="12"/>
  <c r="K126" i="12"/>
  <c r="K111" i="12"/>
  <c r="K100" i="12"/>
  <c r="K66" i="12"/>
  <c r="K54" i="12"/>
  <c r="K45" i="12"/>
  <c r="K33" i="12"/>
  <c r="K18" i="12"/>
  <c r="AD103" i="3"/>
  <c r="AD92" i="3"/>
  <c r="AD94" i="3" s="1"/>
  <c r="AD79" i="3"/>
  <c r="AD65" i="3"/>
  <c r="AC19" i="3"/>
  <c r="AD19" i="3"/>
  <c r="AD116" i="3" l="1"/>
  <c r="AD118" i="3" s="1"/>
  <c r="AD81" i="3"/>
  <c r="C254" i="12" l="1"/>
  <c r="D254" i="12"/>
  <c r="E254" i="12"/>
  <c r="F254" i="12"/>
  <c r="G254" i="12"/>
  <c r="H254" i="12"/>
  <c r="I254" i="12"/>
  <c r="J254" i="12"/>
  <c r="C240" i="12"/>
  <c r="D240" i="12"/>
  <c r="E240" i="12"/>
  <c r="F240" i="12"/>
  <c r="G240" i="12"/>
  <c r="H240" i="12"/>
  <c r="I240" i="12"/>
  <c r="J240" i="12"/>
  <c r="C212" i="12"/>
  <c r="D212" i="12"/>
  <c r="E212" i="12"/>
  <c r="F212" i="12"/>
  <c r="G212" i="12"/>
  <c r="H212" i="12"/>
  <c r="I212" i="12"/>
  <c r="J212" i="12"/>
  <c r="C197" i="12"/>
  <c r="D197" i="12"/>
  <c r="E197" i="12"/>
  <c r="F197" i="12"/>
  <c r="G197" i="12"/>
  <c r="H197" i="12"/>
  <c r="I197" i="12"/>
  <c r="J197" i="12"/>
  <c r="C169" i="12"/>
  <c r="D169" i="12"/>
  <c r="E169" i="12"/>
  <c r="F169" i="12"/>
  <c r="G169" i="12"/>
  <c r="H169" i="12"/>
  <c r="I169" i="12"/>
  <c r="J169" i="12"/>
  <c r="C154" i="12"/>
  <c r="D154" i="12"/>
  <c r="E154" i="12"/>
  <c r="F154" i="12"/>
  <c r="G154" i="12"/>
  <c r="H154" i="12"/>
  <c r="I154" i="12"/>
  <c r="J154" i="12"/>
  <c r="C126" i="12"/>
  <c r="D126" i="12"/>
  <c r="E126" i="12"/>
  <c r="F126" i="12"/>
  <c r="G126" i="12"/>
  <c r="H126" i="12"/>
  <c r="I126" i="12"/>
  <c r="J126" i="12"/>
  <c r="C111" i="12"/>
  <c r="D111" i="12"/>
  <c r="E111" i="12"/>
  <c r="F111" i="12"/>
  <c r="G111" i="12"/>
  <c r="H111" i="12"/>
  <c r="I111" i="12"/>
  <c r="J111" i="12"/>
  <c r="C66" i="12"/>
  <c r="D66" i="12"/>
  <c r="C33" i="12"/>
  <c r="D33" i="12"/>
  <c r="E33" i="12"/>
  <c r="F33" i="12"/>
  <c r="G33" i="12"/>
  <c r="H33" i="12"/>
  <c r="J33" i="12"/>
  <c r="C18" i="12"/>
  <c r="D18" i="12"/>
  <c r="E18" i="12"/>
  <c r="F18" i="12"/>
  <c r="G18" i="12"/>
  <c r="H18" i="12"/>
  <c r="J18" i="12"/>
  <c r="C45" i="12"/>
  <c r="D45" i="12"/>
  <c r="E45" i="12"/>
  <c r="F45" i="12"/>
  <c r="G45" i="12"/>
  <c r="H45" i="12"/>
  <c r="C88" i="12"/>
  <c r="D88" i="12"/>
  <c r="C134" i="12"/>
  <c r="D134" i="12"/>
  <c r="E134" i="12"/>
  <c r="F134" i="12"/>
  <c r="G134" i="12"/>
  <c r="H134" i="12"/>
  <c r="I134" i="12"/>
  <c r="C177" i="12"/>
  <c r="D177" i="12"/>
  <c r="E177" i="12"/>
  <c r="F177" i="12"/>
  <c r="G177" i="12"/>
  <c r="H177" i="12"/>
  <c r="I177" i="12"/>
  <c r="C220" i="12"/>
  <c r="D220" i="12"/>
  <c r="E220" i="12"/>
  <c r="F220" i="12"/>
  <c r="G220" i="12"/>
  <c r="H220" i="12"/>
  <c r="I220" i="12"/>
  <c r="C265" i="12"/>
  <c r="D265" i="12"/>
  <c r="E265" i="12"/>
  <c r="I265" i="12"/>
  <c r="H265" i="12"/>
  <c r="G265" i="12"/>
  <c r="F265" i="12"/>
  <c r="J265" i="12"/>
  <c r="J220" i="12"/>
  <c r="J177" i="12"/>
  <c r="J134" i="12"/>
  <c r="J45" i="12"/>
  <c r="T71" i="5" l="1"/>
  <c r="G65" i="8" l="1"/>
  <c r="G62" i="8"/>
  <c r="G61" i="8"/>
  <c r="F64" i="8"/>
  <c r="F65" i="8"/>
  <c r="E61" i="8"/>
  <c r="F61" i="8"/>
  <c r="E65" i="8"/>
  <c r="E64" i="8"/>
  <c r="G63" i="8" l="1"/>
  <c r="G66" i="8" s="1"/>
  <c r="M14" i="15" l="1"/>
  <c r="U14" i="15"/>
  <c r="Q15" i="15" l="1"/>
  <c r="M15" i="15"/>
  <c r="X15" i="15"/>
  <c r="W15" i="15"/>
  <c r="V15" i="15"/>
  <c r="U15" i="15"/>
  <c r="X17" i="15"/>
  <c r="W17" i="15"/>
  <c r="V17" i="15"/>
  <c r="T56" i="5" l="1"/>
  <c r="T32" i="5"/>
  <c r="AK95" i="6"/>
  <c r="AK96" i="6"/>
  <c r="G229" i="12" l="1"/>
  <c r="H229" i="12"/>
  <c r="I229" i="12"/>
  <c r="J229" i="12"/>
  <c r="G186" i="12"/>
  <c r="H186" i="12"/>
  <c r="I186" i="12"/>
  <c r="J186" i="12"/>
  <c r="G143" i="12"/>
  <c r="H143" i="12"/>
  <c r="I143" i="12"/>
  <c r="J143" i="12"/>
  <c r="J100" i="12"/>
  <c r="J87" i="12"/>
  <c r="J88" i="12" s="1"/>
  <c r="E76" i="12"/>
  <c r="F76" i="12"/>
  <c r="G76" i="12"/>
  <c r="H76" i="12"/>
  <c r="E62" i="12"/>
  <c r="E88" i="12" s="1"/>
  <c r="F62" i="12"/>
  <c r="F88" i="12" s="1"/>
  <c r="G62" i="12"/>
  <c r="G88" i="12" s="1"/>
  <c r="H62" i="12"/>
  <c r="H88" i="12" s="1"/>
  <c r="I62" i="12"/>
  <c r="I88" i="12" s="1"/>
  <c r="J62" i="12"/>
  <c r="J66" i="12" s="1"/>
  <c r="G54" i="12"/>
  <c r="H54" i="12"/>
  <c r="I54" i="12"/>
  <c r="J54" i="12"/>
  <c r="AB103" i="3"/>
  <c r="AC103" i="3"/>
  <c r="AC92" i="3"/>
  <c r="AC94" i="3" s="1"/>
  <c r="AB79" i="3"/>
  <c r="AC79" i="3"/>
  <c r="AB65" i="3"/>
  <c r="AC65" i="3"/>
  <c r="Y65" i="3"/>
  <c r="AC116" i="3" l="1"/>
  <c r="AC118" i="3" s="1"/>
  <c r="AB116" i="3"/>
  <c r="AC81" i="3"/>
  <c r="AB81" i="3"/>
  <c r="H65" i="12"/>
  <c r="H66" i="12" s="1"/>
  <c r="G65" i="12"/>
  <c r="G66" i="12" s="1"/>
  <c r="E65" i="12"/>
  <c r="E66" i="12" s="1"/>
  <c r="F65" i="12"/>
  <c r="F66" i="12" s="1"/>
  <c r="I65" i="12"/>
  <c r="G68" i="8"/>
  <c r="L68" i="8" s="1"/>
  <c r="I66" i="12" l="1"/>
  <c r="I71" i="12"/>
  <c r="I76" i="12" s="1"/>
  <c r="L70" i="8"/>
  <c r="E69" i="8"/>
  <c r="G55" i="8"/>
  <c r="F69" i="8"/>
  <c r="G69" i="8"/>
  <c r="L69" i="8" s="1"/>
  <c r="G57" i="8" l="1"/>
  <c r="G52" i="8"/>
  <c r="G53" i="8"/>
  <c r="G54" i="8"/>
  <c r="S71" i="5" l="1"/>
  <c r="S56" i="5"/>
  <c r="S32" i="5"/>
  <c r="AJ95" i="6"/>
  <c r="AJ96" i="6"/>
  <c r="I100" i="12" l="1"/>
  <c r="H100" i="12"/>
  <c r="G100" i="12"/>
  <c r="F100" i="12"/>
  <c r="E100" i="12"/>
  <c r="D100" i="12"/>
  <c r="I14" i="12"/>
  <c r="AB92" i="3"/>
  <c r="AB94" i="3" s="1"/>
  <c r="AB118" i="3" s="1"/>
  <c r="I17" i="12" l="1"/>
  <c r="I18" i="12" s="1"/>
  <c r="I45" i="12"/>
  <c r="AA18" i="3"/>
  <c r="I24" i="12" l="1"/>
  <c r="I29" i="12" s="1"/>
  <c r="I32" i="12" s="1"/>
  <c r="I33" i="12" s="1"/>
  <c r="AA103" i="3"/>
  <c r="AA92" i="3"/>
  <c r="AA94" i="3" s="1"/>
  <c r="AA79" i="3"/>
  <c r="AA65" i="3"/>
  <c r="AA81" i="3" l="1"/>
  <c r="AA116" i="3"/>
  <c r="AA118" i="3" s="1"/>
  <c r="R71" i="5"/>
  <c r="R56" i="5"/>
  <c r="R32" i="5"/>
  <c r="AI96" i="6"/>
  <c r="AH96" i="6"/>
  <c r="AI95" i="6"/>
  <c r="AH95" i="6"/>
  <c r="C29" i="4"/>
  <c r="D29" i="4"/>
  <c r="E29" i="4"/>
  <c r="F29" i="4"/>
  <c r="G29" i="4"/>
  <c r="I28" i="4"/>
  <c r="I29" i="4" s="1"/>
  <c r="I31" i="4" s="1"/>
  <c r="J30" i="4" s="1"/>
  <c r="J31" i="4" s="1"/>
  <c r="H28" i="4"/>
  <c r="H29" i="4" s="1"/>
  <c r="AE96" i="6" l="1"/>
  <c r="AF96" i="6"/>
  <c r="AB96" i="6"/>
  <c r="AC96" i="6"/>
  <c r="AD96" i="6"/>
  <c r="AB95" i="6"/>
  <c r="AC95" i="6"/>
  <c r="AD95" i="6"/>
  <c r="AE95" i="6"/>
  <c r="AG96" i="6"/>
  <c r="AF95" i="6"/>
  <c r="AG95" i="6"/>
  <c r="Q71" i="5" l="1"/>
  <c r="Q56" i="5" l="1"/>
  <c r="Q32" i="5"/>
  <c r="Z103" i="3"/>
  <c r="Z92" i="3"/>
  <c r="Z94" i="3" s="1"/>
  <c r="Z79" i="3"/>
  <c r="Z65" i="3"/>
  <c r="Z81" i="3" l="1"/>
  <c r="Z116" i="3"/>
  <c r="Z118" i="3" s="1"/>
  <c r="P71" i="5" l="1"/>
  <c r="P56" i="5" l="1"/>
  <c r="P32" i="5"/>
  <c r="F229" i="12" l="1"/>
  <c r="F186" i="12"/>
  <c r="F143" i="12"/>
  <c r="F54" i="12"/>
  <c r="V103" i="3"/>
  <c r="W103" i="3"/>
  <c r="X103" i="3"/>
  <c r="Y103" i="3"/>
  <c r="W79" i="3"/>
  <c r="X79" i="3"/>
  <c r="Y79" i="3"/>
  <c r="Y81" i="3" s="1"/>
  <c r="W65" i="3"/>
  <c r="X65" i="3"/>
  <c r="V116" i="3" l="1"/>
  <c r="Y116" i="3"/>
  <c r="Y118" i="3" s="1"/>
  <c r="W116" i="3"/>
  <c r="X116" i="3"/>
  <c r="X118" i="3" s="1"/>
  <c r="C76" i="8"/>
  <c r="C77" i="8"/>
  <c r="G13" i="8"/>
  <c r="E62" i="8" l="1"/>
  <c r="E66" i="8" s="1"/>
  <c r="G42" i="8"/>
  <c r="F62" i="8"/>
  <c r="F68" i="8"/>
  <c r="E68" i="8"/>
  <c r="H56" i="5"/>
  <c r="I56" i="5"/>
  <c r="J56" i="5"/>
  <c r="K56" i="5"/>
  <c r="L56" i="5"/>
  <c r="M56" i="5"/>
  <c r="N56" i="5"/>
  <c r="O56" i="5"/>
  <c r="G56" i="5"/>
  <c r="O32" i="5"/>
  <c r="H32" i="5"/>
  <c r="I32" i="5"/>
  <c r="J32" i="5"/>
  <c r="K32" i="5"/>
  <c r="L32" i="5"/>
  <c r="M32" i="5"/>
  <c r="N32" i="5"/>
  <c r="G32" i="5"/>
  <c r="E53" i="8" l="1"/>
  <c r="J61" i="8"/>
  <c r="F66" i="8"/>
  <c r="E70" i="8"/>
  <c r="J62" i="8"/>
  <c r="F70" i="8"/>
  <c r="E229" i="12"/>
  <c r="E186" i="12"/>
  <c r="E143" i="12"/>
  <c r="E54" i="12"/>
  <c r="X81" i="3"/>
  <c r="K70" i="8" l="1"/>
  <c r="K62" i="8"/>
  <c r="F57" i="8"/>
  <c r="J65" i="8"/>
  <c r="J69" i="8"/>
  <c r="J63" i="8"/>
  <c r="J68" i="8"/>
  <c r="J64" i="8"/>
  <c r="J70" i="8"/>
  <c r="K63" i="8"/>
  <c r="L63" i="8"/>
  <c r="K64" i="8"/>
  <c r="L64" i="8"/>
  <c r="K65" i="8"/>
  <c r="K68" i="8"/>
  <c r="L65" i="8"/>
  <c r="K69" i="8"/>
  <c r="L61" i="8"/>
  <c r="K61" i="8"/>
  <c r="L62" i="8"/>
  <c r="E52" i="8"/>
  <c r="E57" i="8"/>
  <c r="F67" i="8"/>
  <c r="E67" i="8"/>
  <c r="G67" i="8"/>
  <c r="E55" i="8"/>
  <c r="E54" i="8"/>
  <c r="F55" i="8"/>
  <c r="F53" i="8"/>
  <c r="F54" i="8"/>
  <c r="F52" i="8"/>
  <c r="W94" i="3" l="1"/>
  <c r="W118" i="3" s="1"/>
  <c r="W81" i="3" l="1"/>
  <c r="C229" i="12" l="1"/>
  <c r="D229" i="12"/>
  <c r="C186" i="12" l="1"/>
  <c r="D186" i="12"/>
  <c r="C143" i="12"/>
  <c r="D143" i="12"/>
  <c r="C100" i="12"/>
  <c r="C54" i="12"/>
  <c r="D54" i="12"/>
  <c r="H71" i="5" l="1"/>
  <c r="I71" i="5"/>
  <c r="J71" i="5"/>
  <c r="K71" i="5"/>
  <c r="L71" i="5"/>
  <c r="M71" i="5"/>
  <c r="N71" i="5"/>
  <c r="G71" i="5"/>
  <c r="V94" i="3" l="1"/>
  <c r="V118" i="3" s="1"/>
  <c r="V79" i="3"/>
  <c r="V65" i="3"/>
  <c r="U92" i="3" l="1"/>
  <c r="U65" i="3" l="1"/>
  <c r="U79" i="3"/>
  <c r="U94" i="3"/>
  <c r="U103" i="3"/>
  <c r="U116" i="3" l="1"/>
  <c r="U118" i="3" s="1"/>
  <c r="U81" i="3"/>
  <c r="C115" i="3" l="1"/>
  <c r="D115" i="3"/>
  <c r="E115" i="3"/>
  <c r="F115" i="3"/>
  <c r="I115" i="3"/>
  <c r="J115" i="3"/>
  <c r="K115" i="3"/>
  <c r="L115" i="3"/>
  <c r="M115" i="3"/>
  <c r="N115" i="3"/>
  <c r="O115" i="3"/>
  <c r="C103" i="3"/>
  <c r="D103" i="3"/>
  <c r="E103" i="3"/>
  <c r="F103" i="3"/>
  <c r="G103" i="3"/>
  <c r="H103" i="3"/>
  <c r="I103" i="3"/>
  <c r="J103" i="3"/>
  <c r="K103" i="3"/>
  <c r="L103" i="3"/>
  <c r="M103" i="3"/>
  <c r="N103" i="3"/>
  <c r="O103" i="3"/>
  <c r="P103" i="3"/>
  <c r="Q103" i="3"/>
  <c r="R103" i="3"/>
  <c r="S103" i="3"/>
  <c r="T103" i="3"/>
  <c r="C92" i="3"/>
  <c r="C94" i="3" s="1"/>
  <c r="D92" i="3"/>
  <c r="D94" i="3" s="1"/>
  <c r="E92" i="3"/>
  <c r="E94" i="3" s="1"/>
  <c r="F92" i="3"/>
  <c r="F94" i="3" s="1"/>
  <c r="G92" i="3"/>
  <c r="G94" i="3" s="1"/>
  <c r="H92" i="3"/>
  <c r="H94" i="3" s="1"/>
  <c r="I92" i="3"/>
  <c r="I94" i="3" s="1"/>
  <c r="J92" i="3"/>
  <c r="J94" i="3" s="1"/>
  <c r="K92" i="3"/>
  <c r="K94" i="3" s="1"/>
  <c r="L92" i="3"/>
  <c r="L94" i="3" s="1"/>
  <c r="M92" i="3"/>
  <c r="M94" i="3" s="1"/>
  <c r="N92" i="3"/>
  <c r="N94" i="3" s="1"/>
  <c r="O92" i="3"/>
  <c r="O94" i="3" s="1"/>
  <c r="P92" i="3"/>
  <c r="P94" i="3" s="1"/>
  <c r="Q92" i="3"/>
  <c r="Q94" i="3" s="1"/>
  <c r="R92" i="3"/>
  <c r="R94" i="3" s="1"/>
  <c r="S92" i="3"/>
  <c r="S94" i="3" s="1"/>
  <c r="T92" i="3"/>
  <c r="T94" i="3" s="1"/>
  <c r="C79" i="3"/>
  <c r="C81" i="3" s="1"/>
  <c r="D79" i="3"/>
  <c r="E79" i="3"/>
  <c r="F79" i="3"/>
  <c r="M79" i="3"/>
  <c r="N79" i="3"/>
  <c r="O79" i="3"/>
  <c r="P79" i="3"/>
  <c r="Q79" i="3"/>
  <c r="R79" i="3"/>
  <c r="S79" i="3"/>
  <c r="T79" i="3"/>
  <c r="J65" i="3"/>
  <c r="K65" i="3"/>
  <c r="L65" i="3"/>
  <c r="M65" i="3"/>
  <c r="N65" i="3"/>
  <c r="O65" i="3"/>
  <c r="P65" i="3"/>
  <c r="Q65" i="3"/>
  <c r="R65" i="3"/>
  <c r="S65" i="3"/>
  <c r="T65" i="3"/>
  <c r="C118" i="3" l="1"/>
  <c r="O118" i="3"/>
  <c r="L118" i="3"/>
  <c r="S116" i="3"/>
  <c r="S118" i="3" s="1"/>
  <c r="R116" i="3"/>
  <c r="R118" i="3" s="1"/>
  <c r="Q116" i="3"/>
  <c r="Q118" i="3" s="1"/>
  <c r="T116" i="3"/>
  <c r="T118" i="3" s="1"/>
  <c r="P116" i="3"/>
  <c r="P118" i="3" s="1"/>
  <c r="T81" i="3"/>
  <c r="H25" i="5"/>
  <c r="G25" i="5"/>
  <c r="S81" i="3" l="1"/>
  <c r="R81" i="3" l="1"/>
  <c r="Q81" i="3" l="1"/>
  <c r="P81" i="3" l="1"/>
  <c r="K79" i="3" l="1"/>
  <c r="L79" i="3"/>
  <c r="J116" i="3"/>
  <c r="J79" i="3"/>
  <c r="I79" i="3"/>
  <c r="I65" i="3"/>
  <c r="G115" i="3"/>
  <c r="G79" i="3"/>
  <c r="G65" i="3"/>
  <c r="C116" i="3"/>
  <c r="D116" i="3"/>
  <c r="E116" i="3"/>
  <c r="F116" i="3"/>
  <c r="H115" i="3"/>
  <c r="H79" i="3"/>
  <c r="K81" i="3" l="1"/>
  <c r="O81" i="3"/>
  <c r="I81" i="3"/>
  <c r="M81" i="3"/>
  <c r="L81" i="3"/>
  <c r="N81" i="3"/>
  <c r="G116" i="3"/>
  <c r="G118" i="3" s="1"/>
  <c r="G81" i="3"/>
  <c r="J118" i="3"/>
  <c r="J81" i="3"/>
  <c r="H116" i="3"/>
  <c r="H118" i="3" s="1"/>
  <c r="I116" i="3"/>
  <c r="I118" i="3" s="1"/>
  <c r="H65" i="3" l="1"/>
  <c r="H81" i="3" s="1"/>
  <c r="K116" i="3" l="1"/>
  <c r="K118" i="3" s="1"/>
  <c r="L116" i="3"/>
  <c r="N116" i="3"/>
  <c r="O116" i="3"/>
  <c r="D15" i="3" l="1"/>
  <c r="D18" i="3" s="1"/>
  <c r="E15" i="3"/>
  <c r="E18" i="3" s="1"/>
  <c r="F15" i="3"/>
  <c r="F18" i="3" s="1"/>
  <c r="G15" i="3"/>
  <c r="G18" i="3" s="1"/>
  <c r="H15" i="3"/>
  <c r="H18" i="3" s="1"/>
  <c r="I15" i="3"/>
  <c r="I18" i="3" s="1"/>
  <c r="J15" i="3"/>
  <c r="J18" i="3" s="1"/>
  <c r="N15" i="3"/>
  <c r="N18" i="3" s="1"/>
  <c r="M15" i="3"/>
  <c r="M18" i="3" s="1"/>
  <c r="L15" i="3"/>
  <c r="L18" i="3" s="1"/>
  <c r="K15" i="3"/>
  <c r="K18" i="3" s="1"/>
  <c r="N118" i="3" l="1"/>
  <c r="M116" i="3" l="1"/>
  <c r="M118" i="3"/>
  <c r="F118" i="3" l="1"/>
  <c r="E118" i="3"/>
  <c r="D118" i="3"/>
  <c r="F51" i="3"/>
  <c r="F65" i="3" s="1"/>
  <c r="F81" i="3" s="1"/>
  <c r="C51" i="3"/>
  <c r="E51" i="3"/>
  <c r="E65" i="3" s="1"/>
  <c r="E81" i="3" s="1"/>
  <c r="D51" i="3"/>
  <c r="D65" i="3" s="1"/>
  <c r="D81" i="3" s="1"/>
  <c r="U54" i="2" l="1"/>
  <c r="V54" i="2"/>
  <c r="W54" i="2"/>
  <c r="X54" i="2"/>
  <c r="U55" i="2"/>
  <c r="V55" i="2"/>
  <c r="W55" i="2"/>
  <c r="X55" i="2"/>
  <c r="U56" i="2"/>
  <c r="V56" i="2"/>
  <c r="W56" i="2"/>
  <c r="X56" i="2"/>
  <c r="U57" i="2"/>
  <c r="V57" i="2"/>
  <c r="W57" i="2"/>
  <c r="X57" i="2"/>
  <c r="U58" i="2"/>
  <c r="V58" i="2"/>
  <c r="W58" i="2"/>
  <c r="X58" i="2"/>
  <c r="U60" i="2"/>
  <c r="V60" i="2"/>
  <c r="W60" i="2"/>
  <c r="X60" i="2"/>
  <c r="U61" i="2"/>
  <c r="V61" i="2"/>
  <c r="W61" i="2"/>
  <c r="X61" i="2"/>
  <c r="U62" i="2"/>
  <c r="V62" i="2"/>
  <c r="W62" i="2"/>
  <c r="X62" i="2"/>
  <c r="U63" i="2"/>
  <c r="V63" i="2"/>
  <c r="W63" i="2"/>
  <c r="X63" i="2"/>
  <c r="U64" i="2"/>
  <c r="V64" i="2"/>
  <c r="W64" i="2"/>
  <c r="X64" i="2"/>
  <c r="U65" i="2"/>
  <c r="V65" i="2"/>
  <c r="W65" i="2"/>
  <c r="X65" i="2"/>
  <c r="U66" i="2"/>
  <c r="V66" i="2"/>
  <c r="W66" i="2"/>
  <c r="X66" i="2"/>
  <c r="U67" i="2"/>
  <c r="V67" i="2"/>
  <c r="W67" i="2"/>
  <c r="X67" i="2"/>
  <c r="U68" i="2"/>
  <c r="V68" i="2"/>
  <c r="W68" i="2"/>
  <c r="X68" i="2"/>
  <c r="U69" i="2"/>
  <c r="V69" i="2"/>
  <c r="W69" i="2"/>
  <c r="X69" i="2"/>
  <c r="U71" i="2"/>
  <c r="V71" i="2"/>
  <c r="W71" i="2"/>
  <c r="X71" i="2"/>
  <c r="U73" i="2"/>
  <c r="V73" i="2"/>
  <c r="W73" i="2"/>
  <c r="X73" i="2"/>
  <c r="U74" i="2"/>
  <c r="V74" i="2"/>
  <c r="W74" i="2"/>
  <c r="X74" i="2"/>
  <c r="V75" i="2"/>
  <c r="W75" i="2"/>
  <c r="X75" i="2"/>
  <c r="V76" i="2"/>
  <c r="W76" i="2"/>
  <c r="X76" i="2"/>
  <c r="U77" i="2"/>
  <c r="V77" i="2"/>
  <c r="W77" i="2"/>
  <c r="X77" i="2"/>
  <c r="U78" i="2"/>
  <c r="V78" i="2"/>
  <c r="W78" i="2"/>
  <c r="X78" i="2"/>
  <c r="U79" i="2"/>
  <c r="V79" i="2"/>
  <c r="W79" i="2"/>
  <c r="U80" i="2"/>
  <c r="V80" i="2"/>
  <c r="W80" i="2"/>
  <c r="X80" i="2"/>
  <c r="U81" i="2"/>
  <c r="V81" i="2"/>
  <c r="W81" i="2"/>
  <c r="X81" i="2"/>
  <c r="U83" i="2"/>
  <c r="V83" i="2"/>
  <c r="W83" i="2"/>
  <c r="X83" i="2"/>
  <c r="U84" i="2"/>
  <c r="V84" i="2"/>
  <c r="W84" i="2"/>
  <c r="X84" i="2"/>
  <c r="U85" i="2"/>
  <c r="V85" i="2"/>
  <c r="W85" i="2"/>
  <c r="U86" i="2"/>
  <c r="V86" i="2"/>
  <c r="W86" i="2"/>
  <c r="X86" i="2"/>
  <c r="U87" i="2"/>
  <c r="V87" i="2"/>
  <c r="W87" i="2"/>
  <c r="X87" i="2"/>
  <c r="U88" i="2"/>
  <c r="V88" i="2"/>
  <c r="W88" i="2"/>
  <c r="X88" i="2"/>
  <c r="U89" i="2"/>
  <c r="V89" i="2"/>
  <c r="W89" i="2"/>
  <c r="X89" i="2"/>
  <c r="U91" i="2"/>
  <c r="V91" i="2"/>
  <c r="W91" i="2"/>
  <c r="X91" i="2"/>
  <c r="U93" i="2"/>
  <c r="V93" i="2"/>
  <c r="W93" i="2"/>
  <c r="X93" i="2"/>
  <c r="U94" i="2"/>
  <c r="V94" i="2"/>
  <c r="W94" i="2"/>
  <c r="X94" i="2"/>
  <c r="U96" i="2"/>
  <c r="V96" i="2"/>
  <c r="W96" i="2"/>
  <c r="X96" i="2"/>
  <c r="X53" i="2"/>
  <c r="W53" i="2"/>
  <c r="V53" i="2"/>
  <c r="U53" i="2"/>
  <c r="U9" i="2" l="1"/>
  <c r="V9" i="2"/>
  <c r="W9" i="2"/>
  <c r="X9" i="2"/>
  <c r="U10" i="2"/>
  <c r="V10" i="2"/>
  <c r="W10" i="2"/>
  <c r="X10" i="2"/>
  <c r="U11" i="2"/>
  <c r="V11" i="2"/>
  <c r="W11" i="2"/>
  <c r="X11" i="2"/>
  <c r="U12" i="2"/>
  <c r="V12" i="2"/>
  <c r="W12" i="2"/>
  <c r="X12" i="2"/>
  <c r="U13" i="2"/>
  <c r="V13" i="2"/>
  <c r="W13" i="2"/>
  <c r="X13" i="2"/>
  <c r="U14" i="2"/>
  <c r="V14" i="2"/>
  <c r="W14" i="2"/>
  <c r="X14" i="2"/>
  <c r="U15" i="2"/>
  <c r="V15" i="2"/>
  <c r="W15" i="2"/>
  <c r="X15" i="2"/>
  <c r="U16" i="2"/>
  <c r="V16" i="2"/>
  <c r="W16" i="2"/>
  <c r="X16" i="2"/>
  <c r="U17" i="2"/>
  <c r="V17" i="2"/>
  <c r="W17" i="2"/>
  <c r="X17" i="2"/>
  <c r="U18" i="2"/>
  <c r="V18" i="2"/>
  <c r="W18" i="2"/>
  <c r="X18" i="2"/>
  <c r="U20" i="2"/>
  <c r="V20" i="2"/>
  <c r="W20" i="2"/>
  <c r="X20" i="2"/>
  <c r="U23" i="2"/>
  <c r="V23" i="2"/>
  <c r="W23" i="2"/>
  <c r="X23" i="2"/>
  <c r="U24" i="2"/>
  <c r="V24" i="2"/>
  <c r="W24" i="2"/>
  <c r="X24" i="2"/>
  <c r="U25" i="2"/>
  <c r="V25" i="2"/>
  <c r="W25" i="2"/>
  <c r="X25" i="2"/>
  <c r="U27" i="2"/>
  <c r="V27" i="2"/>
  <c r="W27" i="2"/>
  <c r="X27" i="2"/>
  <c r="U28" i="2"/>
  <c r="V28" i="2"/>
  <c r="W28" i="2"/>
  <c r="X28" i="2"/>
  <c r="U29" i="2"/>
  <c r="V29" i="2"/>
  <c r="W29" i="2"/>
  <c r="X29" i="2"/>
  <c r="U30" i="2"/>
  <c r="V30" i="2"/>
  <c r="W30" i="2"/>
  <c r="X30" i="2"/>
  <c r="U31" i="2"/>
  <c r="V31" i="2"/>
  <c r="W31" i="2"/>
  <c r="X31" i="2"/>
  <c r="U32" i="2"/>
  <c r="V32" i="2"/>
  <c r="W32" i="2"/>
  <c r="X32" i="2"/>
  <c r="U33" i="2"/>
  <c r="V33" i="2"/>
  <c r="W33" i="2"/>
  <c r="X33" i="2"/>
  <c r="U35" i="2"/>
  <c r="V35" i="2"/>
  <c r="W35" i="2"/>
  <c r="X35" i="2"/>
  <c r="U36" i="2"/>
  <c r="V36" i="2"/>
  <c r="W36" i="2"/>
  <c r="X36" i="2"/>
  <c r="U37" i="2"/>
  <c r="V37" i="2"/>
  <c r="W37" i="2"/>
  <c r="X37" i="2"/>
  <c r="U38" i="2"/>
  <c r="V38" i="2"/>
  <c r="W38" i="2"/>
  <c r="X38" i="2"/>
  <c r="U39" i="2"/>
  <c r="V39" i="2"/>
  <c r="W39" i="2"/>
  <c r="X39" i="2"/>
  <c r="U40" i="2"/>
  <c r="V40" i="2"/>
  <c r="W40" i="2"/>
  <c r="X40" i="2"/>
  <c r="U41" i="2"/>
  <c r="V41" i="2"/>
  <c r="W41" i="2"/>
  <c r="X41" i="2"/>
  <c r="U43" i="2"/>
  <c r="V43" i="2"/>
  <c r="W43" i="2"/>
  <c r="X43" i="2"/>
  <c r="U45" i="2"/>
  <c r="V45" i="2"/>
  <c r="W45" i="2"/>
  <c r="X45" i="2"/>
  <c r="U46" i="2"/>
  <c r="V46" i="2"/>
  <c r="W46" i="2"/>
  <c r="X46" i="2"/>
  <c r="U47" i="2"/>
  <c r="V47" i="2"/>
  <c r="W47" i="2"/>
  <c r="X47" i="2"/>
  <c r="V8" i="2"/>
  <c r="W8" i="2"/>
  <c r="X8" i="2"/>
  <c r="U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Natalia Molina Arcila</author>
  </authors>
  <commentList>
    <comment ref="P71" authorId="0" shapeId="0" xr:uid="{00000000-0006-0000-0100-000001000000}">
      <text>
        <r>
          <rPr>
            <sz val="9"/>
            <color indexed="81"/>
            <rFont val="Tahoma"/>
            <family val="2"/>
          </rPr>
          <t>Se unifica en Efectivo y equivalentes</t>
        </r>
      </text>
    </comment>
    <comment ref="X91" authorId="0" shapeId="0" xr:uid="{1B766FE8-2ACD-46C5-AF09-65D067EF9CDB}">
      <text>
        <r>
          <rPr>
            <sz val="9"/>
            <color indexed="81"/>
            <rFont val="Tahoma"/>
            <family val="2"/>
          </rPr>
          <t>Cambió de ubicación en el formato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Natalia Molina Arcila</author>
  </authors>
  <commentList>
    <comment ref="B61" authorId="0" shapeId="0" xr:uid="{9B58E512-7936-45D4-A793-5884D84FFE8E}">
      <text>
        <r>
          <rPr>
            <b/>
            <sz val="9"/>
            <color indexed="81"/>
            <rFont val="Tahoma"/>
            <family val="2"/>
          </rPr>
          <t>Cambia de ubicación ante el cambio de razón social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Natalia Molina Arcila</author>
  </authors>
  <commentList>
    <comment ref="F19" authorId="0" shapeId="0" xr:uid="{00000000-0006-0000-0200-000001000000}">
      <text>
        <r>
          <rPr>
            <b/>
            <sz val="9"/>
            <color indexed="81"/>
            <rFont val="Tahoma"/>
            <family val="2"/>
          </rPr>
          <t>Se cambia el formato. 
Ver línea abajo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Natalia Molina Arcila</author>
  </authors>
  <commentList>
    <comment ref="D7" authorId="0" shapeId="0" xr:uid="{2B349E6E-730D-4089-A892-56149F732908}">
      <text>
        <r>
          <rPr>
            <b/>
            <sz val="9"/>
            <color indexed="81"/>
            <rFont val="Tahoma"/>
            <family val="2"/>
          </rPr>
          <t>Celsia Colombia tiene la representación comercial.</t>
        </r>
      </text>
    </comment>
    <comment ref="B61" authorId="0" shapeId="0" xr:uid="{8455165C-F2A0-4546-8AE7-8EC36A4DB973}">
      <text>
        <r>
          <rPr>
            <b/>
            <sz val="9"/>
            <color indexed="81"/>
            <rFont val="Tahoma"/>
            <family val="2"/>
          </rPr>
          <t>Menor a 20 MW</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Natalia Molina Arcila</author>
    <author>Rafael Alejandro Franceschi Fuentes</author>
  </authors>
  <commentList>
    <comment ref="D7" authorId="0" shapeId="0" xr:uid="{53A396FC-D02C-4ABF-B706-3F04A24A5DB1}">
      <text>
        <r>
          <rPr>
            <sz val="9"/>
            <color indexed="81"/>
            <rFont val="Tahoma"/>
            <family val="2"/>
          </rPr>
          <t>Bontex: 115,23 GWh-a 
Alternegy: 460,93 GWh-a
[Prospecto Alternegy]</t>
        </r>
      </text>
    </comment>
    <comment ref="G7" authorId="0" shapeId="0" xr:uid="{8075CA56-F28D-4E43-9B76-196F1F64703B}">
      <text>
        <r>
          <rPr>
            <sz val="9"/>
            <color indexed="81"/>
            <rFont val="Tahoma"/>
            <family val="2"/>
          </rPr>
          <t>USD62 /MW base 2015
Indexación al 1,9% [Prospecto Alternegy]
[Precio base. Información compañía]</t>
        </r>
      </text>
    </comment>
    <comment ref="C8" authorId="0" shapeId="0" xr:uid="{62570DCA-832F-48C0-8C6D-3BAD747A9939}">
      <text>
        <r>
          <rPr>
            <sz val="9"/>
            <color indexed="81"/>
            <rFont val="Tahoma"/>
            <family val="2"/>
          </rPr>
          <t>80 MW Alternegy
20 MW Bontex</t>
        </r>
      </text>
    </comment>
    <comment ref="F8" authorId="0" shapeId="0" xr:uid="{FFC9A5ED-9D0A-4789-A929-FE441A5BF880}">
      <text>
        <r>
          <rPr>
            <sz val="9"/>
            <color indexed="81"/>
            <rFont val="Tahoma"/>
            <family val="2"/>
          </rPr>
          <t>Precio Bontex
Base 2015 [Precio base. Información compañía]
Indexación: 1,92% [Prospecto Alternegy]</t>
        </r>
      </text>
    </comment>
    <comment ref="G12" authorId="0" shapeId="0" xr:uid="{789BCDF3-5B12-4F1C-A973-AAFB50B67DBB}">
      <text>
        <r>
          <rPr>
            <sz val="9"/>
            <color indexed="81"/>
            <rFont val="Tahoma"/>
            <family val="2"/>
          </rPr>
          <t xml:space="preserve">Precio: 97 USD/MW en verano (Enero a Mayo) y de USD 38 en invierno (Junio a Diciembre)
Indexado el 16,5% al  WPU054 de USA
Período base Diciembre del 2016.
</t>
        </r>
      </text>
    </comment>
    <comment ref="C16" authorId="1" shapeId="0" xr:uid="{3FCE4D60-AE43-4305-9944-8CDD741045D0}">
      <text>
        <r>
          <rPr>
            <sz val="9"/>
            <color indexed="81"/>
            <rFont val="Tahoma"/>
            <family val="2"/>
          </rPr>
          <t>Promedio anual contratado de BLM y CECA</t>
        </r>
      </text>
    </comment>
    <comment ref="F16" authorId="1" shapeId="0" xr:uid="{30ED20D6-B977-4E38-BBDB-886304C1F0A6}">
      <text>
        <r>
          <rPr>
            <sz val="9"/>
            <color indexed="81"/>
            <rFont val="Tahoma"/>
            <family val="2"/>
          </rPr>
          <t>Precio Base 4.38 USD/Kw-mes. Al precio se le indexan los Cti (Costos Reales de Transmisión del mes). Aprox. 0.594 USD/KW-mes</t>
        </r>
      </text>
    </comment>
    <comment ref="C17" authorId="1" shapeId="0" xr:uid="{1573356F-2877-48DE-B70B-529B198991A4}">
      <text>
        <r>
          <rPr>
            <sz val="9"/>
            <color indexed="81"/>
            <rFont val="Tahoma"/>
            <family val="2"/>
          </rPr>
          <t>Promedio anual contratado de BLM y CECA</t>
        </r>
      </text>
    </comment>
    <comment ref="F17" authorId="1" shapeId="0" xr:uid="{01ACDC41-BB85-452A-9657-751368553209}">
      <text>
        <r>
          <rPr>
            <sz val="9"/>
            <color indexed="81"/>
            <rFont val="Tahoma"/>
            <family val="2"/>
          </rPr>
          <t>Precio Base 5.10 USD/Kw-mes. Al precio se le indexan los Cti (Costos Reales de Transmisión del mes). Aprox. 0.594 USD/KW-mes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Natalia Molina Arcila</author>
  </authors>
  <commentList>
    <comment ref="D45" authorId="0" shapeId="0" xr:uid="{936AF912-86A2-4926-8313-9169EEE0455A}">
      <text>
        <r>
          <rPr>
            <b/>
            <sz val="9"/>
            <color indexed="81"/>
            <rFont val="Tahoma"/>
            <family val="2"/>
          </rPr>
          <t>Lo estimo con 1bill. Del valor de los activos transferidos a Tolima - 430.000 del costo de Plan5Caribe</t>
        </r>
      </text>
    </comment>
  </commentList>
</comments>
</file>

<file path=xl/sharedStrings.xml><?xml version="1.0" encoding="utf-8"?>
<sst xmlns="http://schemas.openxmlformats.org/spreadsheetml/2006/main" count="2735" uniqueCount="925">
  <si>
    <t>Fuentes de información del mercado eléctrico en las geografías que operamos</t>
  </si>
  <si>
    <t>Descriptivo activos:</t>
  </si>
  <si>
    <t>Nota preventiva:</t>
  </si>
  <si>
    <t>Fiancieros trimestrales:</t>
  </si>
  <si>
    <t>Operacionales trimestrales:</t>
  </si>
  <si>
    <t>ESTADO DE RESULTADOS</t>
  </si>
  <si>
    <t>Ventas en Bolsa</t>
  </si>
  <si>
    <t>Cargo por Confiabilidad</t>
  </si>
  <si>
    <t>Comercialización mercado mayorista</t>
  </si>
  <si>
    <t>Generación y comercialización mayorista de energía eléctrica</t>
  </si>
  <si>
    <t>Comercialización mercado regulado</t>
  </si>
  <si>
    <t>Comercialización mercado no regulado</t>
  </si>
  <si>
    <t>Comercialización minorista de energía eléctrica</t>
  </si>
  <si>
    <t>Uso y conexión de redes</t>
  </si>
  <si>
    <t>Comercialización de gas y de transporte</t>
  </si>
  <si>
    <t>Otros servicios operacionales</t>
  </si>
  <si>
    <t>Otros servicios</t>
  </si>
  <si>
    <t xml:space="preserve">TOTAL INGRESOS OPERACIONALES </t>
  </si>
  <si>
    <t>Costo de ventas</t>
  </si>
  <si>
    <t>Depreciación y amortizaciones</t>
  </si>
  <si>
    <t>COSTO DE VENTAS</t>
  </si>
  <si>
    <t>Administración</t>
  </si>
  <si>
    <t>Gastos operacionales de administración</t>
  </si>
  <si>
    <t>UTILIDAD OPERACIONAL</t>
  </si>
  <si>
    <t>EBITDA</t>
  </si>
  <si>
    <t>MARGEN EBITDA</t>
  </si>
  <si>
    <t>Ingresos financieros</t>
  </si>
  <si>
    <t>Ingresos método de participación</t>
  </si>
  <si>
    <t>Ingresos no operacionales</t>
  </si>
  <si>
    <t>Gastos financieros</t>
  </si>
  <si>
    <t>Otros gastos no operacionales</t>
  </si>
  <si>
    <t>Diferencia en cambio neta</t>
  </si>
  <si>
    <t>TOTAL OTROS INGRESOS Y GASTOS, NETO</t>
  </si>
  <si>
    <t>UTILIDAD ANTES DE PROVISIÓN PARA IMPUESTOS</t>
  </si>
  <si>
    <t>Provisión para impuesto sobre la renta</t>
  </si>
  <si>
    <t>Participación de intereses minoritarios</t>
  </si>
  <si>
    <t>UTILIDAD NETA</t>
  </si>
  <si>
    <t>BALANCE GENERAL</t>
  </si>
  <si>
    <t>Disponible</t>
  </si>
  <si>
    <t>Inversiones temporales</t>
  </si>
  <si>
    <t>Deudores, neto (activo corriente)</t>
  </si>
  <si>
    <t>Inventarios (activo corriente)</t>
  </si>
  <si>
    <t>Gastos pagados por anticipado</t>
  </si>
  <si>
    <t>TOTAL ACTIVO CORRIENTE</t>
  </si>
  <si>
    <t/>
  </si>
  <si>
    <t>Deudores, neto (activo no corriente)</t>
  </si>
  <si>
    <t>Inventarios (activo no corriente)</t>
  </si>
  <si>
    <t>Inversiones permanentes, neto</t>
  </si>
  <si>
    <t>Propiedades, planta y equipo, neto</t>
  </si>
  <si>
    <t>Cargos diferidos, neto</t>
  </si>
  <si>
    <t xml:space="preserve">Bienes adquiridos en leasing financiero, neto </t>
  </si>
  <si>
    <t>Intangibles, neto</t>
  </si>
  <si>
    <t>Otros activos</t>
  </si>
  <si>
    <t>Valorizaciones y desvalorizaciones, neto</t>
  </si>
  <si>
    <t>TOTAL ACTIVO NO CORRIENTE</t>
  </si>
  <si>
    <t>TOTAL ACTIVO</t>
  </si>
  <si>
    <t>Obligaciones financieras (corriente)</t>
  </si>
  <si>
    <t>Bonos y papeles comerciales (corriente)</t>
  </si>
  <si>
    <t>Cuentas por pagar</t>
  </si>
  <si>
    <t>Impuestos, gravámenes y tasas (corriente)</t>
  </si>
  <si>
    <t>Obligaciones laborales y de seguridad social integral</t>
  </si>
  <si>
    <t>Pasivos estimados y provisiones (corriente)</t>
  </si>
  <si>
    <t>Pensiones de jubilación (corriente)</t>
  </si>
  <si>
    <t>Otros pasivos (corriente)</t>
  </si>
  <si>
    <t>TOTAL PASIVO CORRIENTE</t>
  </si>
  <si>
    <t>Obligaciones financieras (no corriente)</t>
  </si>
  <si>
    <t>Bonos y papeles comerciales (no corriente)</t>
  </si>
  <si>
    <t>Impuestos, gravámenes y tasas (no corriente)</t>
  </si>
  <si>
    <t>Pasivos estimados y provisiones (no corriente)</t>
  </si>
  <si>
    <t>Pensiones de jubilación (no corriente)</t>
  </si>
  <si>
    <t>Otros pasivos (no corriente)</t>
  </si>
  <si>
    <t>TOTAL PASIVO NO CORRIENTE</t>
  </si>
  <si>
    <t>TOTAL PASIVO</t>
  </si>
  <si>
    <t>Interés de la minoría</t>
  </si>
  <si>
    <t xml:space="preserve">PATRIMONIO </t>
  </si>
  <si>
    <t>TOTAL PASIVO Y PATRIMONIO</t>
  </si>
  <si>
    <t xml:space="preserve">CELSIA S.A. E.S.P. </t>
  </si>
  <si>
    <t>ESTADO DE RESULTADOS INTEGRALES CONSOLIDADO</t>
  </si>
  <si>
    <t>Expresados en millones de pesos colombianos</t>
  </si>
  <si>
    <t>Ingresos consolidados</t>
  </si>
  <si>
    <t>1T 15</t>
  </si>
  <si>
    <t xml:space="preserve">   Generación de energía eléctrica</t>
  </si>
  <si>
    <t xml:space="preserve">   Comercialización minorista</t>
  </si>
  <si>
    <t xml:space="preserve">   Uso y conexión de redes</t>
  </si>
  <si>
    <t xml:space="preserve">   Comercialización de gas y de transporte</t>
  </si>
  <si>
    <t xml:space="preserve">   Otros servicios operacionales</t>
  </si>
  <si>
    <t xml:space="preserve">Ingresos ordinarios </t>
  </si>
  <si>
    <t>Costos de ventas</t>
  </si>
  <si>
    <t>GANANCIA BRUTA</t>
  </si>
  <si>
    <t>Margen bruto</t>
  </si>
  <si>
    <t>Otros ingresos</t>
  </si>
  <si>
    <t>Gastos  de administración</t>
  </si>
  <si>
    <t>Otros gastos</t>
  </si>
  <si>
    <t>GANANCIA ANTES DE FINANCIEROS</t>
  </si>
  <si>
    <t>Resultado financiero - ingresos financieros</t>
  </si>
  <si>
    <t>Resultado financiero - gastos financieros</t>
  </si>
  <si>
    <t>GANANCIA ANTES DE IMPUESTOS</t>
  </si>
  <si>
    <t>GANANCIA NETA</t>
  </si>
  <si>
    <t>GANANCIA (PERDIDA) ATRIBUIBLE</t>
  </si>
  <si>
    <t>A propietarios de la controladora</t>
  </si>
  <si>
    <t>A participaciones no controladoras</t>
  </si>
  <si>
    <t xml:space="preserve">GANANCIA (PERDIDA) </t>
  </si>
  <si>
    <t>ESTADO DE SITUACION FINANCIERA CONSOLIDADO</t>
  </si>
  <si>
    <t>Propiedades, plantas y equipos</t>
  </si>
  <si>
    <t>Bienes adquiridos en leasing financiero</t>
  </si>
  <si>
    <t xml:space="preserve">Efectivo y equivalentes al efectivo </t>
  </si>
  <si>
    <t xml:space="preserve">Deudores comerciales y otras ctas por cobrar , netos </t>
  </si>
  <si>
    <t xml:space="preserve">Capital emitido </t>
  </si>
  <si>
    <t xml:space="preserve">Primas de emisión </t>
  </si>
  <si>
    <t>Reservas</t>
  </si>
  <si>
    <t>Ganancias (pérdidas) del ejercicio</t>
  </si>
  <si>
    <t>Ganancias acumuladas balance apertura</t>
  </si>
  <si>
    <t>Participaciones no controladoras</t>
  </si>
  <si>
    <t>TOTAL PATRIMONIO NETO</t>
  </si>
  <si>
    <t>TOTAL PATRIMONIO Y PASIVO</t>
  </si>
  <si>
    <t>2T 15</t>
  </si>
  <si>
    <t>3T 15</t>
  </si>
  <si>
    <t>4T 15</t>
  </si>
  <si>
    <t>Total patrimonio atribuíble a los propietarios de la controladora</t>
  </si>
  <si>
    <t>(+) Necesidades Netas de KW</t>
  </si>
  <si>
    <t>(-) Impuestos</t>
  </si>
  <si>
    <t>Total Flujo de Caja Operación</t>
  </si>
  <si>
    <t>Total Flujo de Caja de Inversión</t>
  </si>
  <si>
    <t>(+) Otros Dividendos</t>
  </si>
  <si>
    <t>Total Flujo de Dividendos</t>
  </si>
  <si>
    <t>Flujo de Caja Libre de la Compañía</t>
  </si>
  <si>
    <t>Obligaciones Financieras Totales</t>
  </si>
  <si>
    <t>(-) Otros Egresos</t>
  </si>
  <si>
    <t>(+) Rendimientos Financieros y Otros</t>
  </si>
  <si>
    <t>Total Flujo de Caja Financiero</t>
  </si>
  <si>
    <t>Total Flujo de Caja del Período</t>
  </si>
  <si>
    <t>(+) Caja Inicial</t>
  </si>
  <si>
    <t>Saldo de Caja Final</t>
  </si>
  <si>
    <t>Estados Financieros - IFRS</t>
  </si>
  <si>
    <t>Estados Financieros - ColGAAPS</t>
  </si>
  <si>
    <t xml:space="preserve">Flujo de efectivo </t>
  </si>
  <si>
    <t>(+) Dividendos EPSA / Cetsa</t>
  </si>
  <si>
    <t>(+) Dividendos TF</t>
  </si>
  <si>
    <t>Segregación ingresos de generación</t>
  </si>
  <si>
    <t>Histórico de dividendo por acción</t>
  </si>
  <si>
    <t>1T2011</t>
  </si>
  <si>
    <t>2T2011</t>
  </si>
  <si>
    <t>3T2011</t>
  </si>
  <si>
    <t>4T2011</t>
  </si>
  <si>
    <t>1T2012</t>
  </si>
  <si>
    <t>2T2012</t>
  </si>
  <si>
    <t>3T2012</t>
  </si>
  <si>
    <t>4T2012</t>
  </si>
  <si>
    <t>1T2013</t>
  </si>
  <si>
    <t>2T2013</t>
  </si>
  <si>
    <t>3T2013</t>
  </si>
  <si>
    <t>4T2013</t>
  </si>
  <si>
    <t>1T2014</t>
  </si>
  <si>
    <t>2T2014</t>
  </si>
  <si>
    <t>3T2014</t>
  </si>
  <si>
    <t>4T2014</t>
  </si>
  <si>
    <t>1T2015</t>
  </si>
  <si>
    <t>2T2015</t>
  </si>
  <si>
    <t>3T2015</t>
  </si>
  <si>
    <t>NA</t>
  </si>
  <si>
    <t>ND</t>
  </si>
  <si>
    <t>Central</t>
  </si>
  <si>
    <t>Compañía</t>
  </si>
  <si>
    <t>Tecnología De Generación</t>
  </si>
  <si>
    <t>MERILECTRICA</t>
  </si>
  <si>
    <t>Celsia</t>
  </si>
  <si>
    <t xml:space="preserve">ALTO ANCHICAYÁ </t>
  </si>
  <si>
    <t xml:space="preserve">BAJO ANCHICAYÁ </t>
  </si>
  <si>
    <t>SALVAJINA</t>
  </si>
  <si>
    <t xml:space="preserve">CALIMA </t>
  </si>
  <si>
    <t xml:space="preserve">HIDROPRADO </t>
  </si>
  <si>
    <t>CUCUANA</t>
  </si>
  <si>
    <t>Cetsa</t>
  </si>
  <si>
    <t>Alternegy</t>
  </si>
  <si>
    <t>Enerwinds</t>
  </si>
  <si>
    <t>Eólica</t>
  </si>
  <si>
    <t>Capacidad instalada centrales</t>
  </si>
  <si>
    <t>GUANACASTE (Parque Eólico Guanacaste, PEG)</t>
  </si>
  <si>
    <t>Obligaciones de Energía en Firme actuales</t>
  </si>
  <si>
    <t>Fin asignaciones</t>
  </si>
  <si>
    <t>Precio Base CxC (US$/MWh)</t>
  </si>
  <si>
    <t>Meriléctrica</t>
  </si>
  <si>
    <t>Heat rate aproximado centrales térmicas Colombia</t>
  </si>
  <si>
    <t xml:space="preserve">Gas natural ciclo simple: </t>
  </si>
  <si>
    <t>entre 10 y 12 MBTU/MWh aproximadamente</t>
  </si>
  <si>
    <t>Información contratos Centroamérica</t>
  </si>
  <si>
    <t>Observaciones</t>
  </si>
  <si>
    <t>Fuentes información Centroamérica</t>
  </si>
  <si>
    <t>http://informacioninteligente10.xm.com.co/Pages/default.aspx</t>
  </si>
  <si>
    <t>Gas natural – Concentra</t>
  </si>
  <si>
    <t xml:space="preserve">http://www.concentra.co/ </t>
  </si>
  <si>
    <t>Tipo de información</t>
  </si>
  <si>
    <t>Fuente</t>
  </si>
  <si>
    <t xml:space="preserve">http://www.creg.gov.co/cxc/index.htm </t>
  </si>
  <si>
    <t>Centro Nacional de Despacho</t>
  </si>
  <si>
    <t>www.cnd.com.pa</t>
  </si>
  <si>
    <t>Autoridad Nacional de los Servicios Públicos (ASEP)</t>
  </si>
  <si>
    <t>ETESA</t>
  </si>
  <si>
    <t>http://www.etesa.com.pa/</t>
  </si>
  <si>
    <t>Costo marginal - Sistema - Panamá</t>
  </si>
  <si>
    <t>Generación mes - Sistema - Panamá</t>
  </si>
  <si>
    <t>Demanda - Sistema - Panamá</t>
  </si>
  <si>
    <t>Precio Bunker - Sistema - Panamá</t>
  </si>
  <si>
    <t xml:space="preserve">CND / Informe operaciones /  despacho semanal / Datos / Proncomb </t>
  </si>
  <si>
    <t>Precio Carbón - Sistema - Panamá</t>
  </si>
  <si>
    <t>Precio Diesel - Sistema - Panamá</t>
  </si>
  <si>
    <t>Generación neta - eólico - Sistema - Panamá</t>
  </si>
  <si>
    <t xml:space="preserve">CND / Informes operaciones / Informe mensual de operaciones </t>
  </si>
  <si>
    <t>Del mercado</t>
  </si>
  <si>
    <t>De la operación</t>
  </si>
  <si>
    <t>http://www.cnd.com.pa/</t>
  </si>
  <si>
    <t>4T 14</t>
  </si>
  <si>
    <t>3T 14</t>
  </si>
  <si>
    <t>2T 14</t>
  </si>
  <si>
    <t>1T 14</t>
  </si>
  <si>
    <t>http://www.siel.gov.co/</t>
  </si>
  <si>
    <t>Presentaciones Celsia</t>
  </si>
  <si>
    <t>Vínculo</t>
  </si>
  <si>
    <t>Kit de valoración para analistas</t>
  </si>
  <si>
    <t>Contenido</t>
  </si>
  <si>
    <t>Estados financieros trimestrales - ColGAAPS</t>
  </si>
  <si>
    <t>Flujo de efectivo anual</t>
  </si>
  <si>
    <t>Anexos - financieros:</t>
  </si>
  <si>
    <t>Indicadores operacionales</t>
  </si>
  <si>
    <t>Fuentes de información Colombia</t>
  </si>
  <si>
    <t>Fuentes de información Centroamérica</t>
  </si>
  <si>
    <t>Glosario XM</t>
  </si>
  <si>
    <t>UPME - Proyecciones de demanda</t>
  </si>
  <si>
    <t>http://www.siel.gov.co/Inicio/Demanda/ProyeccionesdeDemanda/tabid/97/Default.aspx</t>
  </si>
  <si>
    <t>http://www.creg.gov.co/cxc/secciones/colombia_cifras/colombia_cifras.htm</t>
  </si>
  <si>
    <t xml:space="preserve">http://www.cnd.com.pa/informes.php?tipo_informe=17&amp;cat=2 </t>
  </si>
  <si>
    <t>Informe del mercado - CND</t>
  </si>
  <si>
    <t>Glosario de términos</t>
  </si>
  <si>
    <r>
      <t xml:space="preserve">Informe anual CDN/Etesa en </t>
    </r>
    <r>
      <rPr>
        <i/>
        <sz val="8"/>
        <color theme="1"/>
        <rFont val="Arial"/>
        <family val="2"/>
      </rPr>
      <t>informes</t>
    </r>
    <r>
      <rPr>
        <sz val="8"/>
        <color theme="1"/>
        <rFont val="Arial"/>
        <family val="2"/>
      </rPr>
      <t xml:space="preserve"> del CND</t>
    </r>
  </si>
  <si>
    <t>http://www.cnd.com.pa/informes.php?cat=0&amp;tipo_informe=27</t>
  </si>
  <si>
    <t>Secretaría nacional de energía</t>
  </si>
  <si>
    <t xml:space="preserve">http://www.hidromet.com.pa/centrales_hidro.php </t>
  </si>
  <si>
    <t xml:space="preserve">http://www.hidromet.com.pa/cuencas.php </t>
  </si>
  <si>
    <t>Hidrología</t>
  </si>
  <si>
    <t xml:space="preserve">Generación de energía </t>
  </si>
  <si>
    <t>Informe Mensual de Operaciones CND</t>
  </si>
  <si>
    <t>Contratos de energía</t>
  </si>
  <si>
    <t>Diferencia en cambio (neto)</t>
  </si>
  <si>
    <t>Impuesto a las ganancias diferido</t>
  </si>
  <si>
    <t>Activos financieros corrientes (portafolio)</t>
  </si>
  <si>
    <t>4T 13</t>
  </si>
  <si>
    <t>Otro Resultado Integral (ORI)</t>
  </si>
  <si>
    <t>PASIVO NO CORRIENTE</t>
  </si>
  <si>
    <t>PASIVO CORRIENTE</t>
  </si>
  <si>
    <t>2014*</t>
  </si>
  <si>
    <t>*Nota 2: Caja inicial de 2014 incluye la caja inicial de la operación de Centroamérica</t>
  </si>
  <si>
    <t>*Nota 1: Ebitda a partir de 2014 bajo IFRS</t>
  </si>
  <si>
    <t>4T2015</t>
  </si>
  <si>
    <t>1T 16</t>
  </si>
  <si>
    <t>2T 16</t>
  </si>
  <si>
    <t>3T 16</t>
  </si>
  <si>
    <t>4T 16</t>
  </si>
  <si>
    <t>Ganancias (pérdidas) acumuladas</t>
  </si>
  <si>
    <t>(-) CapEx + Inversiones</t>
  </si>
  <si>
    <t>(+/-) Dividendos Netos</t>
  </si>
  <si>
    <t>*Nota 3: Dividendos pagados netos a partir del 1T 2016</t>
  </si>
  <si>
    <t>1T2016</t>
  </si>
  <si>
    <t>2T2016</t>
  </si>
  <si>
    <t>3T2016</t>
  </si>
  <si>
    <t>Expresado en millones de dólares</t>
  </si>
  <si>
    <t>Expresado en millones de pesos colombianos</t>
  </si>
  <si>
    <t>4T16</t>
  </si>
  <si>
    <t>4T2016</t>
  </si>
  <si>
    <t>Otros activos no financieros</t>
  </si>
  <si>
    <t>Obligaciones de Energía en Firme</t>
  </si>
  <si>
    <t>CREG - Normatividad</t>
  </si>
  <si>
    <t>http://apolo.creg.gov.co/Publicac.nsf/Documentos-Resoluciones?OpenView&amp;Start=1&amp;Count=30&amp;Collapse=1#1</t>
  </si>
  <si>
    <t>1T 17</t>
  </si>
  <si>
    <t>ACTIVO CORRIENTE</t>
  </si>
  <si>
    <t>ACTIVO NO CORRIENTE</t>
  </si>
  <si>
    <t>1T17</t>
  </si>
  <si>
    <t>1T2017</t>
  </si>
  <si>
    <t>Cucuana</t>
  </si>
  <si>
    <t>Asignación por 20 años como planta nueva, vigente hasta noviembre 2034.</t>
  </si>
  <si>
    <t>El mercado eléctrico - XM – Portal BI</t>
  </si>
  <si>
    <t>Sistema de Información Eléctrico Colombiano - SIEL</t>
  </si>
  <si>
    <t>El mercado:</t>
  </si>
  <si>
    <t>La operación:</t>
  </si>
  <si>
    <t>Conceptos CxC - CREG</t>
  </si>
  <si>
    <t>Estructura del mercado - XM</t>
  </si>
  <si>
    <t>Cifras del mercado - CREG</t>
  </si>
  <si>
    <t>Normatividad:</t>
  </si>
  <si>
    <t>http://informesanuales.xm.com.co/SitePages/Default.aspx</t>
  </si>
  <si>
    <t>Cifras del mercado anuales - XM</t>
  </si>
  <si>
    <t>http://www.ideam.gov.co/web/tiempo-y-clima/prediccion-climatica</t>
  </si>
  <si>
    <t>Predicción climática - IDEAM</t>
  </si>
  <si>
    <t>http://www.bom.gov.au/climate/enso/</t>
  </si>
  <si>
    <t>MW</t>
  </si>
  <si>
    <t>MWh-a</t>
  </si>
  <si>
    <t>Unidad</t>
  </si>
  <si>
    <t>Energía</t>
  </si>
  <si>
    <t>USD / MWh</t>
  </si>
  <si>
    <t>USD año aprox.</t>
  </si>
  <si>
    <t>Precio 
USD/ U$/kW-mes aprox.</t>
  </si>
  <si>
    <t>Potencia</t>
  </si>
  <si>
    <t>G</t>
  </si>
  <si>
    <t>http://www.celsia.com/nuestra-empresa/modelo-de-negocio/generacion</t>
  </si>
  <si>
    <t>T+D</t>
  </si>
  <si>
    <t>http://www.celsia.com/nuestra-empresa/modelo-de-negocio/transmision-y-distribucion</t>
  </si>
  <si>
    <t>C</t>
  </si>
  <si>
    <t>http://www.celsia.com/es/nuestra-empresa/modelo-de-negocio/comercializacion</t>
  </si>
  <si>
    <t>Historia Celsia</t>
  </si>
  <si>
    <t>http://www.celsia.com/es/nuestra-empresa/historia</t>
  </si>
  <si>
    <t>Ingresos asociadas Método participación</t>
  </si>
  <si>
    <t>Impuesto a las ganancias renta corriente</t>
  </si>
  <si>
    <t>2T 17</t>
  </si>
  <si>
    <t>Pasivos financieros no corrientes</t>
  </si>
  <si>
    <t>Pasivos comerciales y otras cuentas por pagar no corrientes</t>
  </si>
  <si>
    <t>Pasivos por impuestos diferidos no corrientes</t>
  </si>
  <si>
    <t>Beneficios a los empleados no corrientes</t>
  </si>
  <si>
    <t>Pasivos financieros corrientes</t>
  </si>
  <si>
    <t>Pasivos comerciales y otras cuentas por pagar corrientes</t>
  </si>
  <si>
    <t>Otras provisiones corrientes</t>
  </si>
  <si>
    <t>Pasivos por impuestos corrientes</t>
  </si>
  <si>
    <t>Beneficios a los empleados corrientes</t>
  </si>
  <si>
    <t>Otros pasivos no financieros corrientes</t>
  </si>
  <si>
    <t>(+/-) Efecto tasa de cambio consolidación</t>
  </si>
  <si>
    <t>2T17</t>
  </si>
  <si>
    <t>2T2017</t>
  </si>
  <si>
    <t>Anotaciones</t>
  </si>
  <si>
    <t>3T 17</t>
  </si>
  <si>
    <t>Solar</t>
  </si>
  <si>
    <t>3T17</t>
  </si>
  <si>
    <t>Concesión hasta el 2057 con opción renovación</t>
  </si>
  <si>
    <t>Consolidado (COP mill.)</t>
  </si>
  <si>
    <t>EPSA (COP mill.)</t>
  </si>
  <si>
    <t>Segregación ingresos de generación*</t>
  </si>
  <si>
    <t xml:space="preserve">*Nota: A partir de diciembre-2017 se presenta en esta sección informacion tomada directamente del ERI, Estado de Resultados Integrales. </t>
  </si>
  <si>
    <t xml:space="preserve">    Cargo por confiabilidad </t>
  </si>
  <si>
    <t>Precio 
USD/MW aprox.**</t>
  </si>
  <si>
    <t>4T17</t>
  </si>
  <si>
    <t>Financieros:</t>
  </si>
  <si>
    <t>EEFF Consolidados, Separados con notas (IFRS)</t>
  </si>
  <si>
    <t>4T2017</t>
  </si>
  <si>
    <t>3T2017</t>
  </si>
  <si>
    <t>http://www.cpc.ncep.noaa.gov/products/precip/CWlink/MJO/enso.shtml</t>
  </si>
  <si>
    <t>Predicción climática - Agencia Australiana</t>
  </si>
  <si>
    <t>Predicción climática - Agencia Americana NOOA</t>
  </si>
  <si>
    <t>Datos del mercado históricos (En CND / Estadísticas / Históricos del mercado)</t>
  </si>
  <si>
    <t>Bontex: Gualaca</t>
  </si>
  <si>
    <t>COLOMBIA (COP mill.)</t>
  </si>
  <si>
    <t>Centroamérica (COP mill.)</t>
  </si>
  <si>
    <t>1T18</t>
  </si>
  <si>
    <t>Propiedades de inversión</t>
  </si>
  <si>
    <t>Activos intangibles, neto</t>
  </si>
  <si>
    <t xml:space="preserve">Deudores comerciales y otras por cobrar </t>
  </si>
  <si>
    <t>Crédito mercantil</t>
  </si>
  <si>
    <t>Activos por impuestos diferidos</t>
  </si>
  <si>
    <t xml:space="preserve">Inventarios </t>
  </si>
  <si>
    <t xml:space="preserve">Activos por impuestos </t>
  </si>
  <si>
    <t>Ganancias realizadas del otro resultado integral</t>
  </si>
  <si>
    <t>Otras componentes patrimoniales</t>
  </si>
  <si>
    <t>1T2018</t>
  </si>
  <si>
    <t xml:space="preserve">Ventas en contratos - Colombia (GWh) </t>
  </si>
  <si>
    <t>2T18</t>
  </si>
  <si>
    <t>2T2018</t>
  </si>
  <si>
    <t>http://www.celsia.com/es/accionistas-e-inversionistas/perfil-corporativo/presentaciones</t>
  </si>
  <si>
    <t>http://www.xm.com.co/Paginas/Mercado-de-energia/descripcion-del-sistema-electrico-colombiano.aspx</t>
  </si>
  <si>
    <t>http://www.xm.com.co/corporativo/Paginas/Herramientas/glosario.aspx</t>
  </si>
  <si>
    <t>http://www1.upme.gov.co/InformacionCifras/Paginas/proyeccion-de-demanda-de-energia-electrica.aspx</t>
  </si>
  <si>
    <t>http://www.xm.com.co/Paginas/Mercado-de-energia/obligacion-de-energia-firme.aspx</t>
  </si>
  <si>
    <t>https://www.asep.gob.pa/</t>
  </si>
  <si>
    <t>http://www.energia.gob.pa/</t>
  </si>
  <si>
    <t>https://www.cnd.com.pa/informes.php?cat=1</t>
  </si>
  <si>
    <t xml:space="preserve">    Cargo por confiabilidad</t>
  </si>
  <si>
    <t xml:space="preserve">    Cargo por confiabilidad (Contratos de potencia)</t>
  </si>
  <si>
    <t>3T18</t>
  </si>
  <si>
    <t>3T2018</t>
  </si>
  <si>
    <t>4T18</t>
  </si>
  <si>
    <t>4T2018</t>
  </si>
  <si>
    <t>*Ver informe anual para datos más recientes.</t>
  </si>
  <si>
    <t>Segregación ebitda por negocio</t>
  </si>
  <si>
    <t>Costo de Ventas</t>
  </si>
  <si>
    <t>Celsia Consolidado - COP Millones</t>
  </si>
  <si>
    <t>Costos de bienes y servicios públicos</t>
  </si>
  <si>
    <t>Depreciación y amortización</t>
  </si>
  <si>
    <t>Servicios de personal</t>
  </si>
  <si>
    <t>Operación y mantenimiento</t>
  </si>
  <si>
    <t>Licencias y contribuciones</t>
  </si>
  <si>
    <t>Materiales y otros costos de operación</t>
  </si>
  <si>
    <t>Seguros</t>
  </si>
  <si>
    <t>Honorarios</t>
  </si>
  <si>
    <t>Impuestos</t>
  </si>
  <si>
    <t>Costos generales</t>
  </si>
  <si>
    <t>Arrendamientos</t>
  </si>
  <si>
    <t>Servicios públicos</t>
  </si>
  <si>
    <t>Total</t>
  </si>
  <si>
    <t>ESTADO DE RESULTADOS INTEGRALES CONSOLIDADO TRIMESTRALES</t>
  </si>
  <si>
    <t>Participación en resultados asociadas y negocios conjuntos</t>
  </si>
  <si>
    <t>Impuesto a las ganancias</t>
  </si>
  <si>
    <t>Margen Neto</t>
  </si>
  <si>
    <t>ESTADO DE RESULTADOS INTEGRALES TRIMESTRALES</t>
  </si>
  <si>
    <t>ESTADO DE RESULTADOS INTEGRALES SEPARADO</t>
  </si>
  <si>
    <t>CETSA S.A. E.S.P.</t>
  </si>
  <si>
    <t>4T 2018</t>
  </si>
  <si>
    <t>4T 2017</t>
  </si>
  <si>
    <t>Expresados en millones de USD$</t>
  </si>
  <si>
    <t>* Información indicativa dado que son varios contratos por entidad. Los contratos son principalmente de la modalidad pague lo demandado por lo cual se entregan datos estimados de energía (GWh-a)
** Estimaciones con lo reportado en el CND panamá: CND / Informe operaciones /  despacho semanal / Datos / Proncomb / hoja combustibles 
Cálculo precio monómico: [( cantidad energía * precio unitario energía ) + ( potencia * precio unitario potencia ) ] / energía en GWh</t>
  </si>
  <si>
    <t>Mónómico</t>
  </si>
  <si>
    <t>Potencia + Energía a dic 2022</t>
  </si>
  <si>
    <t>Año actual -&gt;</t>
  </si>
  <si>
    <t>Fuente externa: http://www.cnd.com.pa  | Mercado | Contratos de Suministro</t>
  </si>
  <si>
    <t>Resumen contratos de largo plazo en Centroamérica</t>
  </si>
  <si>
    <t>GWh-a *</t>
  </si>
  <si>
    <t>1T19</t>
  </si>
  <si>
    <t>D&amp;A</t>
  </si>
  <si>
    <t xml:space="preserve">Activos por derecho de uso </t>
  </si>
  <si>
    <t>Pasivos por derecho de uso de activos</t>
  </si>
  <si>
    <t>1T2019</t>
  </si>
  <si>
    <t>Bontex</t>
  </si>
  <si>
    <t>CND panamá | Mercado | Contratos de suministro</t>
  </si>
  <si>
    <t>Nombre Central</t>
  </si>
  <si>
    <t>País</t>
  </si>
  <si>
    <t xml:space="preserve">Capacidad Efectiva </t>
  </si>
  <si>
    <t>Unidad de la capacidad</t>
  </si>
  <si>
    <t>Factor de planta aprox.</t>
  </si>
  <si>
    <t>Tecnología
Detalles</t>
  </si>
  <si>
    <t>Colombia</t>
  </si>
  <si>
    <t>Hidroeléctrica</t>
  </si>
  <si>
    <t>Hidro menor</t>
  </si>
  <si>
    <t>Hidro mayor</t>
  </si>
  <si>
    <t>Centroamérica</t>
  </si>
  <si>
    <t xml:space="preserve">MWp </t>
  </si>
  <si>
    <t>Granja dedicada</t>
  </si>
  <si>
    <t>Diesel</t>
  </si>
  <si>
    <t xml:space="preserve">Asignación plantas existentes. Actualmente con asignación a prorrata hasta noviembre 2023. </t>
  </si>
  <si>
    <t>Última asignación OEF (GWh-año)</t>
  </si>
  <si>
    <t>https://www.celsia.com/es/accionistas-e-inversionistas/informacion-financiera/reportes</t>
  </si>
  <si>
    <t>https://www.celsia.com/es/sostenibilidad/reportes</t>
  </si>
  <si>
    <t>Fuentes de información</t>
  </si>
  <si>
    <t>Informes integrados Celsia (GRI)</t>
  </si>
  <si>
    <t>Informes accionistas Celsia</t>
  </si>
  <si>
    <t>https://www.celsia.com/Portals/0/landingsource/img/Completo%20Prospecto%20de%20informacio%CC%81n%20Celsia.pdf</t>
  </si>
  <si>
    <t>Prospecto emisión de acciones Celsia - Enero 2018</t>
  </si>
  <si>
    <t>Prospecto emisión de bonos Celsia - Octubre 2013</t>
  </si>
  <si>
    <t>https://www.celsia.com/Portals/0/contenidos-celsia/accionistas-e-inversionistas/pdf/celsia/Prospecto-Celsia.pdf</t>
  </si>
  <si>
    <t>Prospecto emisión de bonos EPSA - 2010</t>
  </si>
  <si>
    <t>http://www.bvc.com.co/recursos/emisores/Prospectos/Bonos/Prospecto_EPSA_2010.pdf</t>
  </si>
  <si>
    <t>Presentaciones EPSA</t>
  </si>
  <si>
    <t>Informes EPSA</t>
  </si>
  <si>
    <t>https://www.celsia.com/es/accionistas-e-inversionistas/epsa/informacion-financiera</t>
  </si>
  <si>
    <t>https://www.celsia.com/es/accionistas-e-inversionistas/epsa/perfil-corporativo</t>
  </si>
  <si>
    <t>Información completa sobre la compañía:</t>
  </si>
  <si>
    <t>www.superfinanciera.gov.co -&gt; SIMEV -&gt; RNVE -&gt; Razón Social: Celsia / EPSA / Cetsa -&gt; Informes Financieros bajo NIIF (último botón en la parte superior)</t>
  </si>
  <si>
    <t>Año base</t>
  </si>
  <si>
    <t>Indexador</t>
  </si>
  <si>
    <t>Financieros - Bonos Alternegy</t>
  </si>
  <si>
    <t>https://www.panabolsa.com/es/emisor/altr/</t>
  </si>
  <si>
    <t>2T2019</t>
  </si>
  <si>
    <t>Ventas entre el generador y el comercializador EPSA/CETSA o EPSAG/EPSAC</t>
  </si>
  <si>
    <t>2T19</t>
  </si>
  <si>
    <t>Combustibles</t>
  </si>
  <si>
    <t>Compra de energía y potencia</t>
  </si>
  <si>
    <t>Depreciaciones</t>
  </si>
  <si>
    <t>O&amp;M</t>
  </si>
  <si>
    <t>Otros costos operacionales</t>
  </si>
  <si>
    <t>Térmica GN CS - El Tesorito</t>
  </si>
  <si>
    <t>MWp</t>
  </si>
  <si>
    <t>Honduras</t>
  </si>
  <si>
    <t>Última actualización:</t>
  </si>
  <si>
    <t>Proyectos en desarrollo anunciados</t>
  </si>
  <si>
    <t>Referencia de CapEx por MW instalado:</t>
  </si>
  <si>
    <t>3T19</t>
  </si>
  <si>
    <t>3T2019</t>
  </si>
  <si>
    <t>Celsia Colombia</t>
  </si>
  <si>
    <t>Ventas en contratos EPSA a externos (COP mill.)</t>
  </si>
  <si>
    <t>GWh vendidos en contratos a externos (eliminando ventas entre G y D EPSA/CETSA)</t>
  </si>
  <si>
    <t>4T19</t>
  </si>
  <si>
    <t>4T2019</t>
  </si>
  <si>
    <t>Referencia de plazos de construcción:</t>
  </si>
  <si>
    <t>Estados financieros trimestrales consolidados - IFRS</t>
  </si>
  <si>
    <t>Estados financieros trimestrales por segmento y compañía - IFRS</t>
  </si>
  <si>
    <t xml:space="preserve">Esta información ha sido preparada por Celsia S.A. (la “Compañía” o “Celsia”) con  información propia y de las compañías en las cuales tiene participaciones mayoritarias, la cual no es definitiva ni ha sido auditada. Por lo anterior la información contenida en este documento es susceptible de modificaciones, complementos o enmiendas sin necesidad de aviso previo. Igualmente la información presentada puede diferir de las cifras publicadas por entidades oficiales. Celsia no asume obligación alguna de actualizar o corregir la información contenida en este documento.
La Compañía no otorga ninguna garantía, expresa o implícita, y no es responsable en relación a la exhaustividad de la información (ni por omisión alguna ni por elementos de dicha información que fuesen susceptibles de conducir a error). La Compañía no será responsable de ninguna consecuencia resultante del uso de este documento.
</t>
  </si>
  <si>
    <t>1T20</t>
  </si>
  <si>
    <t>1T2020</t>
  </si>
  <si>
    <t>*Algunas inversiones son sujetas a la participación que se tenga en la plataforma determinada para dichos proyectos.</t>
  </si>
  <si>
    <t>Inducciones:</t>
  </si>
  <si>
    <t>https://www.celsia.com/Portals/0/contenidos-celsia/accionistas-e-inversionistas/perfil-corporativo/presentaciones/pdf/induccion-en-el-mercado-electrico-colombiano-2013.pdf</t>
  </si>
  <si>
    <t>Centrales hídricas</t>
  </si>
  <si>
    <t>https://www.celsia.com/honduras/Centrales-hidroel%C3%A9ctricas</t>
  </si>
  <si>
    <t>Techos/pisos</t>
  </si>
  <si>
    <t>GN, Ciclo simple</t>
  </si>
  <si>
    <t>Termoeléctrica</t>
  </si>
  <si>
    <t>Carbón</t>
  </si>
  <si>
    <t>Líquidos, Motores</t>
  </si>
  <si>
    <t>Consolidada</t>
  </si>
  <si>
    <t>Detalles</t>
  </si>
  <si>
    <t>Capacidad</t>
  </si>
  <si>
    <t>Región</t>
  </si>
  <si>
    <t>Proyecto</t>
  </si>
  <si>
    <t>% Part.</t>
  </si>
  <si>
    <t>Plataforma solar - C2Energía</t>
  </si>
  <si>
    <t>ENERGÍA DISTRIBUIDA SOLAR COLOMBIA (&lt;8MW y que factura directamente a clientes)</t>
  </si>
  <si>
    <t>ENERGÍA DISTRIBUIDA SOLAR CA (&lt;8MW y que factura directamente a clientes)</t>
  </si>
  <si>
    <t>Renovables no convencionales</t>
  </si>
  <si>
    <t>CAPACIDAD INSTALADA GENERACIÓN A GRAN ESCALA</t>
  </si>
  <si>
    <t>CAPACIDAD INSTALADA GENERACIÓN DISTRIBUIDA</t>
  </si>
  <si>
    <t>%</t>
  </si>
  <si>
    <t>TOTAL</t>
  </si>
  <si>
    <t>Celsia Centroamérica S.A.</t>
  </si>
  <si>
    <t>Otras clasificaciones:</t>
  </si>
  <si>
    <t>Renovables (incluye toda la hidro)</t>
  </si>
  <si>
    <t>Dimensión ambiental</t>
  </si>
  <si>
    <t>Dimensión social</t>
  </si>
  <si>
    <t>2Q19</t>
  </si>
  <si>
    <t>2Q20</t>
  </si>
  <si>
    <t>Energía generada por tipo de fuente</t>
  </si>
  <si>
    <t>Hidráulica</t>
  </si>
  <si>
    <t>Solar fotovoltaica - granjas</t>
  </si>
  <si>
    <t>Solar fotovoltaica - techos</t>
  </si>
  <si>
    <t>Térmica</t>
  </si>
  <si>
    <t>Satisfacción de proveedores</t>
  </si>
  <si>
    <t>SST - Fatalidades colaboradores</t>
  </si>
  <si>
    <t>SST - Fatalidades contratistas</t>
  </si>
  <si>
    <t>% mujeres - colaboradores</t>
  </si>
  <si>
    <t>% mujeres - cargos directivos</t>
  </si>
  <si>
    <t>% mujeres - horas de formación</t>
  </si>
  <si>
    <t>Ton CO2 Eq</t>
  </si>
  <si>
    <t>#</t>
  </si>
  <si>
    <t>% miembros independientes en Junta Directiva</t>
  </si>
  <si>
    <t>Monto total inversión social</t>
  </si>
  <si>
    <t xml:space="preserve">Intensidad de las emisiones de GEI </t>
  </si>
  <si>
    <t>Ton CO2eq/GWh</t>
  </si>
  <si>
    <t>Ton CO2eq</t>
  </si>
  <si>
    <t>CELSIA S.A.</t>
  </si>
  <si>
    <t>2T20</t>
  </si>
  <si>
    <t>Inversiones en asociadas y negocios conjuntos</t>
  </si>
  <si>
    <t>Otras Inversiones</t>
  </si>
  <si>
    <t>Instrumentos financieros derivados</t>
  </si>
  <si>
    <t xml:space="preserve">   Participación en resultados asociadas y negocios conjuntos</t>
  </si>
  <si>
    <t>(+) Otros Ingresos y egresos netos</t>
  </si>
  <si>
    <t>2T2020</t>
  </si>
  <si>
    <t>Energía comercializada (Reg + No Reg + Fotovoltaica) - Valle</t>
  </si>
  <si>
    <t>Dimensión económica / gobernanza</t>
  </si>
  <si>
    <t>Colaboradores</t>
  </si>
  <si>
    <t xml:space="preserve">Porcentaje de proveedores locales </t>
  </si>
  <si>
    <t>Med. Anual</t>
  </si>
  <si>
    <t>Emisiones absolutas GEI</t>
  </si>
  <si>
    <t xml:space="preserve">Bonos reducción emisiones vendidos </t>
  </si>
  <si>
    <t>Consumo energía fuentes no renovables</t>
  </si>
  <si>
    <t>COP mill.</t>
  </si>
  <si>
    <t>PQRs</t>
  </si>
  <si>
    <t>Quejas servicio</t>
  </si>
  <si>
    <t>Reclamos facturación</t>
  </si>
  <si>
    <t>Moneda</t>
  </si>
  <si>
    <t>USD</t>
  </si>
  <si>
    <t>Metas socioambientales - año base 2015</t>
  </si>
  <si>
    <t>GWh</t>
  </si>
  <si>
    <t xml:space="preserve"> </t>
  </si>
  <si>
    <t>Vínculos de interés</t>
  </si>
  <si>
    <t>Granja solar SIN</t>
  </si>
  <si>
    <t>Techos y pisos</t>
  </si>
  <si>
    <t>Índice de Experiencia del Cliente - IECe</t>
  </si>
  <si>
    <t xml:space="preserve">Med. Anual </t>
  </si>
  <si>
    <t xml:space="preserve">         NA </t>
  </si>
  <si>
    <t>Mujeres en la JD</t>
  </si>
  <si>
    <t>Financiamiento sostenible</t>
  </si>
  <si>
    <t>Incidentes en ciberseguridad</t>
  </si>
  <si>
    <t>-</t>
  </si>
  <si>
    <t>*Notas explicativas en informe trimestral de resultados.</t>
  </si>
  <si>
    <t>Reportes integrados</t>
  </si>
  <si>
    <t xml:space="preserve"> Monto vigente a la fecha | Bonos Verdes (IFC y FDN) para proyectos de energía solar (1er tramo: IBR + 2,70 | 2º tramo: IPC + 3,69%) | Bonos Sostenibles Findeter para proyecto hidro San Andrés 
(Tasa IBR + 1,55%)</t>
  </si>
  <si>
    <t>Gas Natural</t>
  </si>
  <si>
    <t>GNL</t>
  </si>
  <si>
    <t>Bunker</t>
  </si>
  <si>
    <t>Ton</t>
  </si>
  <si>
    <t>m3</t>
  </si>
  <si>
    <t>Gal</t>
  </si>
  <si>
    <t>COP</t>
  </si>
  <si>
    <t>Parque eólico Camelias- Guajira</t>
  </si>
  <si>
    <t>Asignaciones en proyectos en curso:</t>
  </si>
  <si>
    <t>Termotesorito</t>
  </si>
  <si>
    <t>Asignación por 20 años como planta nueva</t>
  </si>
  <si>
    <t>CELSIA S.A. SEPARADO</t>
  </si>
  <si>
    <t>CELSIA COLOMBIA S.A. E.S.P. (ANTES EPSA S.A. E.S.P.)</t>
  </si>
  <si>
    <t>Asignación por 10 años como planta nueva (Vigencia: 01/dic/2023 – 30/nov/2033)</t>
  </si>
  <si>
    <t>Mercado eléctrico en Colombia</t>
  </si>
  <si>
    <t>Industria eléctrica en Colombia</t>
  </si>
  <si>
    <t>Margen Ebitda - Distribución y Com. Minorista Colombia</t>
  </si>
  <si>
    <t>3T20</t>
  </si>
  <si>
    <t xml:space="preserve">Costo variable - Distribución y Com. Minorista Colombia (T&amp;D + C) </t>
  </si>
  <si>
    <t xml:space="preserve">Costo fijo - Distribución y Com. Minorista Colombia (T&amp;D + C) </t>
  </si>
  <si>
    <t xml:space="preserve">Gasto admon - Distribución y Com. Minorista Colombia (T&amp;D + C) </t>
  </si>
  <si>
    <t xml:space="preserve">D&amp;A - Distribución y Com. Minorista Colombia (T&amp;D + C) </t>
  </si>
  <si>
    <t xml:space="preserve">Ebitda - Distribución y Com. Minorista Colombia (T&amp;D + C) </t>
  </si>
  <si>
    <t>DOS MARES (DMA) - PCH Lorena</t>
  </si>
  <si>
    <t>DOS MARES (DMA) - PCH Prudencia</t>
  </si>
  <si>
    <t>DOS MARES (DMA) - PCH Gualaca</t>
  </si>
  <si>
    <t>Centroamérica - % sobre el total de costos</t>
  </si>
  <si>
    <t>Colener S.A.S.</t>
  </si>
  <si>
    <t>Celsia Colombia S.A. E.S.P. (antes EPSA E.S.P.)</t>
  </si>
  <si>
    <t>Compañía de Electricidad de Tuluá S.A. E.S.P.</t>
  </si>
  <si>
    <t>Porvenir II S.A.S. E.S.P.</t>
  </si>
  <si>
    <t>Begonia Power S.A.S.</t>
  </si>
  <si>
    <t>Celsia Tolima S.A. E.S.P.</t>
  </si>
  <si>
    <t>Colombia:</t>
  </si>
  <si>
    <t>CTC Curazao B.V.</t>
  </si>
  <si>
    <t>Enerwinds de Costa Rica S.A.</t>
  </si>
  <si>
    <t>Bahía Las Minas Corp.</t>
  </si>
  <si>
    <t>Alternegy S.A.</t>
  </si>
  <si>
    <t>Bontex S.A.</t>
  </si>
  <si>
    <t>Celsia Honduras S.A.</t>
  </si>
  <si>
    <t>Parcipación de Celsia Colombia S.A. E.S.P. en compañías</t>
  </si>
  <si>
    <t>Parcipación de Celsia S.A. en compañías</t>
  </si>
  <si>
    <t>Begonia Power S.A.S. E.S.P.</t>
  </si>
  <si>
    <t>Termoeléctrica El Tesorito S.A.S</t>
  </si>
  <si>
    <t>*Con Vientos del Miravalles Limitada, se poseen derechos y obligaciones sobre la participación restante de Enerwinds de Costa Rica S.A.</t>
  </si>
  <si>
    <t>REGIÓN COLOMBIA (Recoje las operaciones de todas las compañías que consolidan en Colombia, principalmente Celsia S.A. y Celsia Colombia S.A. E.S.P.)</t>
  </si>
  <si>
    <t>REGIÓN CENTROAMERICA (EEFF proforma)</t>
  </si>
  <si>
    <t>Cuentas por cobrar relacionadas</t>
  </si>
  <si>
    <t>(-) Deudores Res. 015</t>
  </si>
  <si>
    <t>Compra-venta interna de energía</t>
  </si>
  <si>
    <t>Costo variable - Generación Colombia (G Colombia)</t>
  </si>
  <si>
    <t>Costo fijo - Generación Colombia (G Colombia)</t>
  </si>
  <si>
    <t>Gasto admon - Generación Colombia (G Colombia)</t>
  </si>
  <si>
    <t>D&amp;A - Generación Colombia (G Colombia)</t>
  </si>
  <si>
    <t>Ebitda - Generación Colombia (G Colombia)</t>
  </si>
  <si>
    <t>Margen Ebitda - Generación Colombia (G Colombia)</t>
  </si>
  <si>
    <t>Asignación vigencia 2020-2021</t>
  </si>
  <si>
    <t>PPI WPSFD41312 Private capital equipment</t>
  </si>
  <si>
    <t>15.1</t>
  </si>
  <si>
    <t>*Plantas existentes al precio de la última subasta de asignaciones</t>
  </si>
  <si>
    <t>Fuente: información Celsia  y http://www.xm.com.co/Resultado%20subasta%20cargo%20por%20confiabilidad/Empresas%20con%20Asignaci%C3%B3n%20de%20OEF.pdf</t>
  </si>
  <si>
    <t>Fuente: Notas a los EEFF.</t>
  </si>
  <si>
    <t>3Q20</t>
  </si>
  <si>
    <t>3Q19</t>
  </si>
  <si>
    <t>Cantidad árboles sembrados en el período ReverdeC</t>
  </si>
  <si>
    <t>Total árboles sembrados a la fecha ReverdeC</t>
  </si>
  <si>
    <t>Metas</t>
  </si>
  <si>
    <t>Celsia Centroamérica</t>
  </si>
  <si>
    <t>CELSIA SOLAR YUMBO</t>
  </si>
  <si>
    <t>CELSIA SOLAR BOLIVAR</t>
  </si>
  <si>
    <t>CELSIA SOLAR ESPINAL</t>
  </si>
  <si>
    <t>CELSIA SOLAR EL CARMELO</t>
  </si>
  <si>
    <t>4T20</t>
  </si>
  <si>
    <t>Ingresos puros de Generación Colombia (G Colombia)</t>
  </si>
  <si>
    <t xml:space="preserve">Ingreso puros de Distribución y Com. Minorista Colombia (T&amp;D + C) </t>
  </si>
  <si>
    <t>4Q19</t>
  </si>
  <si>
    <t>4Q20</t>
  </si>
  <si>
    <t>84,7</t>
  </si>
  <si>
    <t>CELSIA SOLAR DIVISA</t>
  </si>
  <si>
    <t>CELSIA SOLAR COMAYAGUA</t>
  </si>
  <si>
    <t>XM - información proyectos</t>
  </si>
  <si>
    <t>http://www.xm.com.co/Paginas/Operacion/Planeacion.aspx</t>
  </si>
  <si>
    <t xml:space="preserve">Segregación ebitda por negocio </t>
  </si>
  <si>
    <t>*No incluye Caoba Inversiones</t>
  </si>
  <si>
    <t>Perfil de deuda</t>
  </si>
  <si>
    <t>2022-dic</t>
  </si>
  <si>
    <t>Otra info.</t>
  </si>
  <si>
    <t>EOC: 2018-4Q</t>
  </si>
  <si>
    <t>EOC: 2017-3Q</t>
  </si>
  <si>
    <t>EOC: 2020-2Q</t>
  </si>
  <si>
    <t>En Celsia desde 2018-4Q</t>
  </si>
  <si>
    <t>EOC: 2020-1Q</t>
  </si>
  <si>
    <t>EOC: 2021-1Q</t>
  </si>
  <si>
    <t>1T21</t>
  </si>
  <si>
    <t>Activos corrientes mantenidos para venta</t>
  </si>
  <si>
    <t>Pasivos corrientes mantenidos para venta</t>
  </si>
  <si>
    <t>3T2020</t>
  </si>
  <si>
    <t>4T2020</t>
  </si>
  <si>
    <t>1T2021</t>
  </si>
  <si>
    <t>Energía comercializada (Reg + No Reg + Fotovoltaica) - Tolima</t>
  </si>
  <si>
    <t>Generación Colombia:</t>
  </si>
  <si>
    <t>1Q21</t>
  </si>
  <si>
    <t>1Q20</t>
  </si>
  <si>
    <t xml:space="preserve"> Med. Anual </t>
  </si>
  <si>
    <t>Inversiones esperadas en 2021:</t>
  </si>
  <si>
    <t>Niveles embalses</t>
  </si>
  <si>
    <t>https://www.hidromet.com.pa/es/aportes-embalses</t>
  </si>
  <si>
    <t>https://www.hidromet.com.pa/es/embalses</t>
  </si>
  <si>
    <t>Aportes embalses</t>
  </si>
  <si>
    <t>Distribución y comercialización minorista:</t>
  </si>
  <si>
    <t>Celsia Centroamérica S.A., CECA</t>
  </si>
  <si>
    <t>CATIVÁ Bunker</t>
  </si>
  <si>
    <t>Hidros (Dos Mares - DMA)</t>
  </si>
  <si>
    <t>Eólica - Guanacaste (PEG)</t>
  </si>
  <si>
    <t>Térmica de respaldo - Celsia Centroamérica (CECA)</t>
  </si>
  <si>
    <t>Última actualización al 30 de junio de 2021</t>
  </si>
  <si>
    <t>TGs CECA</t>
  </si>
  <si>
    <t>2T21</t>
  </si>
  <si>
    <t>Instrumentos financieros derivados corrientes</t>
  </si>
  <si>
    <t>2T2021</t>
  </si>
  <si>
    <t>2Q21</t>
  </si>
  <si>
    <t xml:space="preserve">SST - Índice frecuencia lesiones colab. con fatalidad </t>
  </si>
  <si>
    <t>SST - Índice severidad accidentes con fatalidad</t>
  </si>
  <si>
    <t>https://app.powerbi.com/view?r=eyJrIjoiMjg3NDc0NzEtNDE3ZS00MTM2LWE4N2MtNTEzMmI0YzZkZDUzIiwidCI6ImRmMDJiYWRiLWEyZDMtNGE5OS1hOWRiLTRmZWMzNjdmM2ZhMSIsImMiOjR9</t>
  </si>
  <si>
    <t>https://www.celsia.com/es/quienes-somos/sostenibilidad/reportes/</t>
  </si>
  <si>
    <t>https://www.celsia.com/es/quienes-somos/gobierno-corporativo-celsia/</t>
  </si>
  <si>
    <t>Políticas y prácticas de sostenibilidad</t>
  </si>
  <si>
    <t>210MWp que inician construcción en 2021 | 620 MWp: meta en el corto plazo</t>
  </si>
  <si>
    <t>USD/KW-mes</t>
  </si>
  <si>
    <t xml:space="preserve">Contratos de solo Potencia desde Jun-2020 a mar-2023 </t>
  </si>
  <si>
    <t>Contratos de solo Potencia desde oct-2020 a dic-2021</t>
  </si>
  <si>
    <t>Reconocimientos</t>
  </si>
  <si>
    <t>Dashboard ESG</t>
  </si>
  <si>
    <t>PCH SAN ANDRÉS DE CUERQUIA (SAC)</t>
  </si>
  <si>
    <t>PCH BAJO TULUÁ</t>
  </si>
  <si>
    <t xml:space="preserve">PCH ALTO TULUA </t>
  </si>
  <si>
    <t xml:space="preserve">PCH HIDROMONTAÑITAS </t>
  </si>
  <si>
    <t xml:space="preserve">PCH AMAIME </t>
  </si>
  <si>
    <t>PCH RIO CALI II</t>
  </si>
  <si>
    <t>PCH RIO CALI I</t>
  </si>
  <si>
    <t xml:space="preserve">PCH RUMOR </t>
  </si>
  <si>
    <t>PCH NIMA II</t>
  </si>
  <si>
    <t>PCH NIMA I</t>
  </si>
  <si>
    <t xml:space="preserve">PCH RIO FRIO II </t>
  </si>
  <si>
    <t>PCH RIO FRIO I</t>
  </si>
  <si>
    <t xml:space="preserve">PCH RIO PIEDRAS </t>
  </si>
  <si>
    <t>CELSIA SOLAR LA PAILA</t>
  </si>
  <si>
    <t>EOC: 2015-3Q</t>
  </si>
  <si>
    <t>Cifras comparables en el cálculo del precio implícito en contratos:</t>
  </si>
  <si>
    <t>Inversión  aprox. Total anunciada (mill.)</t>
  </si>
  <si>
    <t>Parque eólico Acacia 2 - Guajira</t>
  </si>
  <si>
    <t>2023-dic Acacia</t>
  </si>
  <si>
    <t>2024-dic Camelias</t>
  </si>
  <si>
    <t>Obligaciones de Energía en Firme actuales (OEF)</t>
  </si>
  <si>
    <t>Celsia Colombia (EPSA)</t>
  </si>
  <si>
    <t>Eólica - Acacias 2</t>
  </si>
  <si>
    <t>Colombia - Córdoba</t>
  </si>
  <si>
    <t>Colombia - Tolima</t>
  </si>
  <si>
    <t>Colombia - Guajira</t>
  </si>
  <si>
    <t>Colombia - varios departamentos</t>
  </si>
  <si>
    <t xml:space="preserve">    Venta de energía mercado mayorista - contratos</t>
  </si>
  <si>
    <t xml:space="preserve">Ventas de contratos </t>
  </si>
  <si>
    <t xml:space="preserve">    Bolsa de energía - spot</t>
  </si>
  <si>
    <t>3T2021</t>
  </si>
  <si>
    <t>Fecha Entrada en Operación Comercial</t>
  </si>
  <si>
    <t xml:space="preserve">Solar: Entre 6 meses y 1 año dependiendo del tamaño del proyecto (2 años en el caso de proyectos muy grandes) </t>
  </si>
  <si>
    <t>Eólica: aprox 1,5 mill. – 1,8 mill. / MW</t>
  </si>
  <si>
    <t xml:space="preserve">Solar: Aprox. USD 0,6 - 0,8 millones / MW </t>
  </si>
  <si>
    <t>Ver referencia Capex abajo</t>
  </si>
  <si>
    <t>FAQs</t>
  </si>
  <si>
    <t>Ley 1715</t>
  </si>
  <si>
    <t>T&amp;D</t>
  </si>
  <si>
    <t xml:space="preserve">Aplica a: Solar PV, eólico, biomasa, PCHs &lt; 10 MW.
-	Deducción de la base para el impuesto de renta: 
o	Hasta el 50% del monto invertido
o	Desde el 1er después de EOC hasta el 5º año
o	Límite: 50% del impuesto de renta liquidado en el año. Tengo los otros años para hacerlo efectivo.
-	Depreciación acelerada (5 años)
o	Componente del proyecto que tiene equipos y obras civiles 
</t>
  </si>
  <si>
    <t>Generación solar (&gt;8 MW) (GWh)</t>
  </si>
  <si>
    <t>Generación térmica (GWh)</t>
  </si>
  <si>
    <t>Capacidad instalada (MW) -&gt; [Ver "Des Activos"]</t>
  </si>
  <si>
    <t>Generación de energía - Colombia (GWh)</t>
  </si>
  <si>
    <t>Ventas en bolsa - Colombia (GWh) (incluye otras transacciones como restricciones, AGC, entre otras)</t>
  </si>
  <si>
    <t>Compras en bolsa Celsia Col. (GWh)</t>
  </si>
  <si>
    <t>Compras en contratos Celsia Col. (GWh)</t>
  </si>
  <si>
    <t>Precio prom. Contratos MC SIN ($/kWh)</t>
  </si>
  <si>
    <t>Ingreso ventas comercialización mayorista:</t>
  </si>
  <si>
    <t>Comentarios</t>
  </si>
  <si>
    <r>
      <t>Ingreso cargo por confiabilidad:</t>
    </r>
    <r>
      <rPr>
        <sz val="8"/>
        <rFont val="Arial"/>
        <family val="2"/>
      </rPr>
      <t xml:space="preserve"> </t>
    </r>
  </si>
  <si>
    <t>Cantidades asignadas OEF plantas existentes (GWh)  -&gt; [Ver OEF en "Des Activos"]</t>
  </si>
  <si>
    <t>Precio última subasta indexado (USD/MWh) (Plantas existentes son tomadoras de precio) -&gt; [Ver OEF en "Des Activos"]</t>
  </si>
  <si>
    <t>Cantidades asignadas OEF de asignaciones de Largo Plazo (GWh)  -&gt; [Ver OEF en "Des Activos"]</t>
  </si>
  <si>
    <t>Precio asignado (USD/MWh) (Plantas existentes son tomadoras de precio) -&gt; [Ver OEF en "Des Activos"]</t>
  </si>
  <si>
    <t>Tema</t>
  </si>
  <si>
    <t>Fecha</t>
  </si>
  <si>
    <t>Información</t>
  </si>
  <si>
    <t xml:space="preserve">Subasta energías renovables: otorgados 766 GWh–año, contratados por 15 años a partir de enero de 2022. Precio promedio subasta: COP 95.65/kWh (USD 0.028/kWh /EUR 0.025/kWh) </t>
  </si>
  <si>
    <t>Generación hidro (GWh)</t>
  </si>
  <si>
    <t>Generación eólica (GWh)</t>
  </si>
  <si>
    <t xml:space="preserve">Ventas en contratos - eólica Centroamérica (GWh) </t>
  </si>
  <si>
    <t>Energía al 2028 | Contrato modalidad BOT (construir, operar, transferir) de 20 años con el ICE, hasta el 2028.</t>
  </si>
  <si>
    <t>Precio prom. Bolsa SIN (spot, PBN) ($/kWh)</t>
  </si>
  <si>
    <t>P</t>
  </si>
  <si>
    <t>Costo Marginal del Sistema (USD/MWh)</t>
  </si>
  <si>
    <t>Ventas totales en mercado ocasional (spot) - Centroamérica (GWh)</t>
  </si>
  <si>
    <t>Ventas totales en contratos - Centroamérica (GWh)</t>
  </si>
  <si>
    <t>Hidro:</t>
  </si>
  <si>
    <t>Ventas en mercado ocasional (spot) - hidro Centroamérica (GWh)</t>
  </si>
  <si>
    <t>Costo Marginal del Sistema (USD/MWh) -&gt; Ver arriba</t>
  </si>
  <si>
    <t>Q</t>
  </si>
  <si>
    <t>Consolidados:</t>
  </si>
  <si>
    <t>PxQ (insumos para ejercicio básico de valoración)</t>
  </si>
  <si>
    <t>AOM</t>
  </si>
  <si>
    <t>Distribución</t>
  </si>
  <si>
    <t>SAIDI - Valle (EPSA CETSA) (Horas)</t>
  </si>
  <si>
    <t>SAIFI - Valle (EPSA CETSA) (Veces)</t>
  </si>
  <si>
    <t>SAIDI Tolima (Horas)</t>
  </si>
  <si>
    <t>SAIFI Tolima (Veces)</t>
  </si>
  <si>
    <t>Pérdidas prom. movil Tolima</t>
  </si>
  <si>
    <t>Pérdidas prom. movil Valle</t>
  </si>
  <si>
    <t xml:space="preserve">Ventas en contratos - hidro Dos Mares Centroamérica (GWh) </t>
  </si>
  <si>
    <t xml:space="preserve">Ventas en contratos - Comayagua Solar Centroamérica (GWh) </t>
  </si>
  <si>
    <t>Ventas en mercado ocasional (spot) - Celsia Solar Centroamérica (GWh)</t>
  </si>
  <si>
    <t>Generación solar total Centroamérica (GWh)</t>
  </si>
  <si>
    <t>Generación Divisa solar (GWh)</t>
  </si>
  <si>
    <t>Generación Comayagua solar (GWh)</t>
  </si>
  <si>
    <t>Generación Celsia Solar Centroamérica (GWh)</t>
  </si>
  <si>
    <t xml:space="preserve">Ventas en contratos - Divisa Solar (GWh) </t>
  </si>
  <si>
    <t>[Ver "Des Activos"]</t>
  </si>
  <si>
    <t>[Ver OEF en "Des Activos"]</t>
  </si>
  <si>
    <t>Precio contratos hidro (USD/MWh) -&gt; [Ver precio monómico y su indexación en "Des Contratos CA"]</t>
  </si>
  <si>
    <t>[Ver precio monómico y su indexación en "Des Contratos CA"]</t>
  </si>
  <si>
    <t>Precio contratos eólica (USD/MWh) -&gt; [Ver precio monómico y su indexación en "Des Contratos CA"]</t>
  </si>
  <si>
    <t>Precio contratos térmica (USD/MWh) -&gt; [Ver precio monómico y su indexación en "Des Contratos CA"]</t>
  </si>
  <si>
    <t xml:space="preserve">Costo Marginal del Sistema (USD/MWh) </t>
  </si>
  <si>
    <t>Precio contrato Divisa Solar (USD/MWh) -&gt; [Ver precio monómico y su indexación en "Des Contratos CA"]</t>
  </si>
  <si>
    <t>Precio contrato Comayagua (USD/MWh) -&gt; [Ver precio monómico y su indexación en "Des Contratos CA"]</t>
  </si>
  <si>
    <t xml:space="preserve">Indice IPC </t>
  </si>
  <si>
    <t>IPC</t>
  </si>
  <si>
    <t>IPP Colombia</t>
  </si>
  <si>
    <t>Inflación USA promedio - PPI</t>
  </si>
  <si>
    <t>Inflación USA - acumulada</t>
  </si>
  <si>
    <t>Valores 2019:</t>
  </si>
  <si>
    <t>Vida útil promedio</t>
  </si>
  <si>
    <t>BRA</t>
  </si>
  <si>
    <t>Depreciación</t>
  </si>
  <si>
    <t>BRA depreciada</t>
  </si>
  <si>
    <t>% inversiones (max. 8%, mín. razonable 4%)</t>
  </si>
  <si>
    <t>Valor inversiones</t>
  </si>
  <si>
    <t>WACC (rai)</t>
  </si>
  <si>
    <t>(BRA + Plan Inversiones) x WACC</t>
  </si>
  <si>
    <t>Promedio gastado entre período tarifario 2012 – 2016 y remunerado actual. Res. CREG 137 de 2019 CSACOL | Res. 138 de 2019 y 004 De 2020 en CETSA | Res. 001 de 2020 Tolima</t>
  </si>
  <si>
    <t>Incentivos de Calidad y pérdidas</t>
  </si>
  <si>
    <t>Senda aprobada por el regulador
Considera un cálculo de pérdidas eficientes el cual parte del análisis de pérdidas técnicas para cada operador. En el largo plazo (definido en 10 años) las perdidas que se reconocerán se aproximan a las eficientes.  
A los operadores que tienen niveles de pérdidas reales superiores a las reconocidas en el nivel de tensión 1, tuvieron la opción de presentar un plan de reducción de pérdidas sobre el cual se reconoce un ingreso en función al cumplimiento de metas anuales (senda), las cuales se evalúan sobre el total de pérdidas (técnicas y no técnicas).</t>
  </si>
  <si>
    <t>Ingreso regulado activos actuales Valle</t>
  </si>
  <si>
    <t>Ingreso regulado activos actuales Tolima</t>
  </si>
  <si>
    <t>Real</t>
  </si>
  <si>
    <t>Se asignó por convocatorias con unos valores de ingresos garantizados por 25 años. No suma en la Base Regulatoria para remuneración,</t>
  </si>
  <si>
    <t>Distribución Valle del Cauca:</t>
  </si>
  <si>
    <t>Distribución Tolima (ex Caoba)</t>
  </si>
  <si>
    <t>T&amp;D Plan5Caribe (En Caoba)</t>
  </si>
  <si>
    <t>Ebitda E 2020</t>
  </si>
  <si>
    <t>Guajira - Cuestecitas, Maicao y Riohacha</t>
  </si>
  <si>
    <t>Cesar – Valledupar</t>
  </si>
  <si>
    <t>Córdoba – Montería</t>
  </si>
  <si>
    <t>Bolívar – Manzanillo</t>
  </si>
  <si>
    <t>Atlántico – Norte</t>
  </si>
  <si>
    <t>Atlántico – Caracolí</t>
  </si>
  <si>
    <t>STN Valledupar 220 kV</t>
  </si>
  <si>
    <t>*En operación</t>
  </si>
  <si>
    <t>Margen ebitda promedio:</t>
  </si>
  <si>
    <t>STN Tolú Viejo</t>
  </si>
  <si>
    <t>EBITDA (2023)</t>
  </si>
  <si>
    <t>*Inicia operaciones en 2023</t>
  </si>
  <si>
    <t>Supuestos:</t>
  </si>
  <si>
    <t>Caoba Inversiones</t>
  </si>
  <si>
    <t>Activos Tolima (En Caoba)</t>
  </si>
  <si>
    <t>% participación en Caoba:</t>
  </si>
  <si>
    <t>% apalancamiento vehículo</t>
  </si>
  <si>
    <t>Caoba Inversiones (Celsia Colombia construye y vende posteriormente a Caoba Inversiones)</t>
  </si>
  <si>
    <t>3T21</t>
  </si>
  <si>
    <t>Factor de utilización prom. hist. (%) -&gt; [Ver "Des Activos"]</t>
  </si>
  <si>
    <t xml:space="preserve">Ventas en contratos - térmica BLM Centroamérica (GWh) </t>
  </si>
  <si>
    <t xml:space="preserve">Ventas en contratos - térmica Cativá Centroamérica (GWh) </t>
  </si>
  <si>
    <t>Generación de energía total - Centroamérica (GWh)</t>
  </si>
  <si>
    <t>Ventas en mercado ocasional (spot) - térmica Cativá Centroamérica (GWh)</t>
  </si>
  <si>
    <t>Ebitda Centroamérca (G) (COP mill.)</t>
  </si>
  <si>
    <t>3Q21</t>
  </si>
  <si>
    <t>Escalonado</t>
  </si>
  <si>
    <t>2021 será un año enfocado en la ejecución de los proyectos de crecimiento, lo cual se verá reflejado en los ingresos para el 2022. Esperamos que el ebitda y la utilidad neta tengan un comportamiento similar o con ligeros crecimientos respecto al 2020. 
Respecto a las inversiones, en continuidad desplegaremos recursos por más de $300 mil millones y en expansión cerca de $520 mil millones. Destacamos las inversiones que planeamos por $250 mil millones para las operaciones de Tolima y Valle para continuar mejorando la calidad del servicio.
En las plataformas en alianza con Cubico también tendremos unas inversiones muy importantes. En la solar esperamos invertir cerca de $1,3 billones para sumar cerca de 15 granjas en todo el país, con una capacidad instalada de 620 MWp. En la plataforma de transmisión proyectamos inversiones superiores a los $200 mil millones para la ejecución de los proyectos Toluviejo, Sahagún y los niveles de tensión 3 y 4 en Tolima. En El Tesorito las inversiones de este año alcanzarían los $600 mil millones, con un desarrollo que nos permita entrar en operación antes de las obligaciones que tenemos para diciembre del 2022. 
Este portafolio de crecimiento y continuidad del negocio implica para Celsia directamente inversiones, incluyendo las contribuciones a las plataformas, de $1,4 billones.</t>
  </si>
  <si>
    <t>Por tecnologías:</t>
  </si>
  <si>
    <t>Divisa Solar</t>
  </si>
  <si>
    <t>Comayagua</t>
  </si>
  <si>
    <t>Contrato bilateral de energía. Consultar referencias del sistema.</t>
  </si>
  <si>
    <t>BLM (potencia)</t>
  </si>
  <si>
    <t>CECA (potencia)</t>
  </si>
  <si>
    <t xml:space="preserve">Período base Diciembre del 2006: 97 USD/MWh en verano (Enero a Mayo) y de USD 38 USD/MWh en invierno (Junio a Diciembre). Indexado el 16,5% al  WPU054 de USA. </t>
  </si>
  <si>
    <t>Cativá (Energía)</t>
  </si>
  <si>
    <t>Subasta de renvoables 2021</t>
  </si>
  <si>
    <t>Subasta de renovables 2019</t>
  </si>
  <si>
    <t xml:space="preserve">COP 95.65/kWh (USD 0.028/kWh /EUR 0.025/kWh) 
Contratos PPA a 15 años 
En pesos colombianos
Contratos por bloques de generación de energía. 
</t>
  </si>
  <si>
    <r>
      <t xml:space="preserve">- No paga transporte: eficiencia al no tener gasoducto.
- Tamaño de las unidades: Unidades más pequeñas, permite flexibilidad para entrar en menores cantidades y dar así un respaldo más eficiente al portafolio.
- Este proyecto se diferencia por su capacidad de mitigar el impacto al medio ambiente y será referente en este sentido al tratarse de 11 motores que en pocos minutos pueden estar a plena capacidad, lo que permite que vayan entrando en la medida que se vayan requiriendo, diferente de otras centrales menos flexibles que deben estar todo el día encendidas sin que realmente se requiera ante sus largos tiempos de arranque (12 a 15 horas). Esto permite un impacto en efecto invernadero mucho más bajo con el que estamos 100% comprometidos. Adicionalmente estamos avanzando en una estrategia, con el objetivo de hacer la planta libre de emisiones gracias a la capacidad que tenemos de hacer una estimación de los Gases de Efecto Invernadero a generar en los próximos 20 años y comprometer así una compensación a través del proyecto ReverdeC, agregando la siembra de la cantidad de árboles adicionales que se requieran para equilibrar dichas emisiones logrando así una planta carbono neutral desde el comienzo.
</t>
    </r>
    <r>
      <rPr>
        <u/>
        <sz val="10"/>
        <color theme="1"/>
        <rFont val="Arial"/>
        <family val="2"/>
      </rPr>
      <t>Captura de carbono:</t>
    </r>
    <r>
      <rPr>
        <sz val="10"/>
        <color theme="1"/>
        <rFont val="Arial"/>
        <family val="2"/>
      </rPr>
      <t xml:space="preserve">
- No hay planes de captura de carbono en la fuente de generación, se ha planeado una compensación de emisiones mediante la promoción de reforestación.</t>
    </r>
  </si>
  <si>
    <t xml:space="preserve">Octubre-2021
Precio de $155 $/kWh, antes de CERE
Contrato a 15 años 
Iniciaría a partir de enero de 2023.
</t>
  </si>
  <si>
    <t>ESG</t>
  </si>
  <si>
    <t xml:space="preserve">Aproximación al ingreso del OR </t>
  </si>
  <si>
    <t>PxQ -&gt; ver hoja "DES. Ing. OR"</t>
  </si>
  <si>
    <r>
      <rPr>
        <b/>
        <sz val="8"/>
        <rFont val="Arial"/>
        <family val="2"/>
      </rPr>
      <t>Energía por fuente:</t>
    </r>
    <r>
      <rPr>
        <sz val="8"/>
        <rFont val="Arial"/>
        <family val="2"/>
      </rPr>
      <t xml:space="preserve"> 25% de la capacidad instalada  vendrá de fuentes no convencionales de energía renovable en 2025</t>
    </r>
  </si>
  <si>
    <r>
      <rPr>
        <b/>
        <sz val="8"/>
        <rFont val="Arial"/>
        <family val="2"/>
      </rPr>
      <t>SST: Indice de Severidad (IS):</t>
    </r>
    <r>
      <rPr>
        <sz val="8"/>
        <rFont val="Arial"/>
        <family val="2"/>
      </rPr>
      <t xml:space="preserve"> 117 en 2020
</t>
    </r>
    <r>
      <rPr>
        <b/>
        <sz val="8"/>
        <rFont val="Arial"/>
        <family val="2"/>
      </rPr>
      <t xml:space="preserve">SST: Indice de Frecuencia (IF): </t>
    </r>
    <r>
      <rPr>
        <sz val="8"/>
        <rFont val="Arial"/>
        <family val="2"/>
      </rPr>
      <t xml:space="preserve">13 en 2020
</t>
    </r>
    <r>
      <rPr>
        <b/>
        <sz val="8"/>
        <rFont val="Arial"/>
        <family val="2"/>
      </rPr>
      <t>SST: Fatalidades colaboradores</t>
    </r>
    <r>
      <rPr>
        <sz val="8"/>
        <rFont val="Arial"/>
        <family val="2"/>
      </rPr>
      <t xml:space="preserve">: 0 
</t>
    </r>
    <r>
      <rPr>
        <b/>
        <sz val="8"/>
        <rFont val="Arial"/>
        <family val="2"/>
      </rPr>
      <t>SST: Fatalidades contratistas:</t>
    </r>
    <r>
      <rPr>
        <sz val="8"/>
        <rFont val="Arial"/>
        <family val="2"/>
      </rPr>
      <t xml:space="preserve"> 0 
</t>
    </r>
  </si>
  <si>
    <r>
      <rPr>
        <b/>
        <sz val="8"/>
        <rFont val="Arial"/>
        <family val="2"/>
      </rPr>
      <t xml:space="preserve">Intensidad de emisiones GEI: </t>
    </r>
    <r>
      <rPr>
        <sz val="8"/>
        <rFont val="Arial"/>
        <family val="2"/>
      </rPr>
      <t xml:space="preserve">Reducir el 25% de la intensidad al 2025.  con línea base 2015 - 377 Ton CO2/GWh
</t>
    </r>
    <r>
      <rPr>
        <b/>
        <sz val="8"/>
        <rFont val="Arial"/>
        <family val="2"/>
      </rPr>
      <t>Cantidad de árboles ReverdeC:</t>
    </r>
    <r>
      <rPr>
        <sz val="8"/>
        <rFont val="Arial"/>
        <family val="2"/>
      </rPr>
      <t xml:space="preserve"> 1 millón de árboles al año
</t>
    </r>
    <r>
      <rPr>
        <b/>
        <sz val="8"/>
        <rFont val="Arial"/>
        <family val="2"/>
      </rPr>
      <t>Agua:</t>
    </r>
    <r>
      <rPr>
        <sz val="8"/>
        <rFont val="Arial"/>
        <family val="2"/>
      </rPr>
      <t xml:space="preserve"> Optimizar en 124mm3 la generación hidráulica al 2021
</t>
    </r>
    <r>
      <rPr>
        <b/>
        <sz val="8"/>
        <rFont val="Arial"/>
        <family val="2"/>
      </rPr>
      <t xml:space="preserve">Residuos Sólidos: </t>
    </r>
    <r>
      <rPr>
        <sz val="8"/>
        <rFont val="Arial"/>
        <family val="2"/>
      </rPr>
      <t xml:space="preserve">Aprovechamiento del 100% de residuos reciclables cada año
</t>
    </r>
  </si>
  <si>
    <t>Fuentes información Colombia</t>
  </si>
  <si>
    <t xml:space="preserve">CELSIA S.A. </t>
  </si>
  <si>
    <t>SST - Indice severidad accidentes colab. sin fatalidad</t>
  </si>
  <si>
    <t>SST - Indice frecuencia lesiones colab. sin fatalidad</t>
  </si>
  <si>
    <t xml:space="preserve">Proyectos de Transmisión </t>
  </si>
  <si>
    <t xml:space="preserve">*Se desarrolla en Celsia Colombia y se vende posteriormente a Caoba Inversiones
i) la construcción de las subestaciones Sahagún de 500 kV en Córdoba y Toluviejo (220 kV) en Sucre con sus líneas de transmisión asociadas, ii) la segunda línea a Buenaventura y, iii) licitaciones de almacenamiento que ocurran en el país. 
TOLUVIEJO: La Upme (Unidad de Planeación Minero-Energética) adjudicó la construcción de la subestación Toluviejo (220 kV) en el departamento de Sucre y 160 km de líneas de transmisión Chinú – Toluviejo y Toluviejo – Bolívar (220 kV), obras incluidas en el Plan de Expansión de Transmisión Eléctrica del país. Este proyecto requerirá una inversión aproximada de USD 70,5 millones. Permitirá contar con una red eléctrica más confiable y de mejor calidad. Además, viabilizará la conexión futura de proyectos de generación. </t>
  </si>
  <si>
    <t>Actualizado al 31-dic</t>
  </si>
  <si>
    <t>EOC: 2021-3Q</t>
  </si>
  <si>
    <t>Plan de inversiones Tolima</t>
  </si>
  <si>
    <t>CELSIA SOLAR PRUDENCIA</t>
  </si>
  <si>
    <t>EOC: 2022-1Q</t>
  </si>
  <si>
    <t>4Q21</t>
  </si>
  <si>
    <t>*Por verificar con el dato de los equipos. Cálculos propios con los datos trimestrales.</t>
  </si>
  <si>
    <t>Explicaciones (Notas)</t>
  </si>
  <si>
    <t>Subastas de cargo por confiabilidad</t>
  </si>
  <si>
    <t xml:space="preserve">La CREG anunció cancelación de la subasta de reconfiguración de venta de obligaciones de energía firme para el período 2022-2023, dado que al realizar el balance actualizado de OEF asignadas y las proyecciones de demanda de dicho periodo, la comisión no identificó que se cuente con un excedente de OEF.	
En consulta se encuentra la resolución 223 de 2021, por la cual se busca hacer la asignación de las Obligaciones de Energía en Firme (OEF) para las vigencias 2023-24 y 2024-25. Se espera que la CREG emita la resolución definitiva durante el primer trimestre de 2022.
</t>
  </si>
  <si>
    <t>Tesorito - destacado</t>
  </si>
  <si>
    <t>Resolución CREG 075 de 2021</t>
  </si>
  <si>
    <t xml:space="preserve">Impulsa el cambio en la regulación de conexiones que permitan viabilizar y acelerar los grandes proyectos eólicos del país con importantes logros para liberar puntos de conexión y asuntos de energía reactiva para proyectos solares y eólicos. Permite despejar el camino para una ejecución más acelerada.
</t>
  </si>
  <si>
    <t xml:space="preserve">Regulación </t>
  </si>
  <si>
    <t>4T21</t>
  </si>
  <si>
    <t>PxQ</t>
  </si>
  <si>
    <t>Ver nota</t>
  </si>
  <si>
    <t>Trimestres -&gt;</t>
  </si>
  <si>
    <t xml:space="preserve">Principales indicadores consultados por el público inversionista.  </t>
  </si>
  <si>
    <t>Años -&gt;</t>
  </si>
  <si>
    <t>El régimen hidrológico favorable durante 2021 impactó positivamente la generación de las plantas con embalse de la Organización presentándose un incremento en la generación de un 31,87% con relación al año anterior. La generación de energía de las pequeñas centrales hidroeléctricas (PCH) a filo de agua (mayores a 10MW) presentó un incremento del 19,42%, mientras que las  PCH filo de agua menores a 10MW un incremento de un 24,06% . La generación de las plantas térmicas disminuyó en la parte correspondiente al Carbón, debido al retiro de la planta de Bahía las Minas, en contraste, se da un incremento en otros rubros de esta tecnología dada la generación obligada de las turbinas de gas y los motores de Cativá por la restricción de transmisión de ETESA en la líneas de 115KV en Colón, Panamá Finalmente la generación eólica tuvo un incremento de 30.65%.</t>
  </si>
  <si>
    <t>En comparación con el año 2020, en 2021 se redujeron las peticiones, quejas y reclamos en Celsia en un 14%, esto es 145.836 PQRs menos. Las quejas por calidad del servicio tuvieron una disminución del 27%, principalmente en el departamento de Tolima donde la quejas bajaron en un 34%, producto de las inversiones en redes y gestión de mantenimiento preventivo. En cuanto a las solicitudes, la disminución fue del 11% como resultado de menos solicitudes de información de los conceptos facturados en Tolima. De otro lado, los reclamos sobre la facturación se incrementaron en un 42% como efecto de la estabilización por el cambio de plataforma comercial en Valle durante el segundo semestre del 2021.</t>
  </si>
  <si>
    <t>En Celsia estamos convencidos de que la equidad de género es un factor de sostenibilidad, lo cual fue ratificado durante el año 2021 donde la plantilla de colaboradoras pasó de 638 a 681, que corresponde a un incremento de 6,74% respecto al año 2020, fortaleciendo la gestión de activos, los nuevos negocios y la experiencia del cliente. Particularmente, en Centroamérica las cifras muestran una disminución en el número de colaboradoras en los niveles 2, 3 y 5  debido a la desinversión en uno de los negocios de generación térmica.</t>
  </si>
  <si>
    <t>En Celsia lamentamos mucho la pérdida de 6 vidas humanas; eventos que pudieron ser prevenidos;  debido a fallas en las decisiones humanas   y la  omisión de  los protocolos de seguridad por parte de los contratistas. Todo los eventos fueron debidamente investigados; donde se identificaron las causas raíces que nos permiten aprender y generar las lecciones aprendidas para ser replicas posteriormente a todos los procesos de la organización. Dada las circunstancias se genero un  plan de choque en colaboración de nuestros consultores externos soportado a través de  los  4 pilares de la cultura YEC ( YEO, IAI, DO, GC), mas  los nuevos retos generados por la pandemia del COVID 19,  integrando elementos cognitivos, comportamentales y sociales que refuercen  nuestra cultura de autocuidado y autocontrol en  el  equipos de Tolima.</t>
  </si>
  <si>
    <t xml:space="preserve">La inversión social aumentó de forma general debido a varios aspectos, entre los que resaltamos:
•	Desarrollo de procesos de consultas previas para los nuevos proyectos en Colombia.
•	Desarrollo de varios procesos sociales y proyectos en las comunidades de las diferentes áreas de influencia de nuestros activos en operación y nuevos proyectos, en busca no solo de aportar al desarrollo de los territorios y sus poblaciones, sino también de contribuir en el proceso de reactivación económica y social del país, afectados por la pandemia y las cuarentenas. 
•	Implementación de los acuerdos de consultas protocolizadas en años anteriores, especialmente, en las CH Salvajina y Bajo Anchicayá. 
•	Ejecución de proyectos estratégicos para las comunidades en el marco de los planes de gestión social de los nuevos proyectos. </t>
  </si>
  <si>
    <t>Para nuestras emisiones alcance 1: Las emisiones de CO2 asociada a la operación y mantenimientos de nuestros activos en el 2021, obtuvimos una reducción del 48% en relación al año 2020
Para nuestras emisiones totales alcance 2: Las emisiones de CO2 asociada a la compra de energía importada de la red y a las pérdidas de transmisión y distribución, tuvimos un incremento del 26% en relación con el año 2020. En gran medida estas emisiones están asociadas a las pérdidas de transmisión y distribución para el Valle y Tolima en el país de Colombia. Por lo anterior no cumplimos con la meta establecida para el año 2021 superándola en un 7,6%.</t>
  </si>
  <si>
    <t xml:space="preserve">En este último trimestre del año se elevó el número de árboles sembrados en comparación al año anterior, debido a que para el caso del Valle del Cauca la corporación ambiental realizó entrega de gran parte del material vegetal para materializar el convenio vigente con Celsia y para el caso del departamento del Tolima los árboles en vivero alcanzaron la altura adecuada para ser llevados a campo. Finalmente, en esta cifra se encuentran sumados los árboles de nuestros aliados como fundación grupo argos y gobernación del Tolima. </t>
  </si>
  <si>
    <t xml:space="preserve">Durante 2021 Celsia tuvo una reducción en el consumo general de energía. Sin embargo, en Centroamérica, la generación de energía térmica tuvo un operación normal en referencia al 2019 correspondiente al uso del bunker y Diésel; referente al 2020 la operación tuvo un incremento dada que la central es de respaldo para el sistema eléctrico panameño, teniendo una operación mas prolongada.  Adicionalmente, cabe resalta que la operación con el combustible fósil - Carbón dejo de operar para la central térmica Complejo Térmico Colon. </t>
  </si>
  <si>
    <t>https://www.celsia.com/es/quienes-somos/sostenibilidad/metas-socioambientales/</t>
  </si>
  <si>
    <t>https://www.celsia.com/wp-content/uploads/2022/02/20220223-Premios-y-Reconocimientos-2021.pdf</t>
  </si>
  <si>
    <t>Celsolar</t>
  </si>
  <si>
    <t>última actualización: 2020</t>
  </si>
  <si>
    <t>Actualmente se tiene una cantidad importante de bonos que se están comercializando en 2022.  En 2021 y 2020 no se presentaron oportunidades comerciales atractivas para transarlos.</t>
  </si>
  <si>
    <t>[Se actualizó la serie trimestral para homologar con el cálculo que se hace en la serie anual. Anualmente solo se tenían en cuenta colaboradores directos de la compañía. Trimestralmente se incluían temporales y aprendices.]</t>
  </si>
  <si>
    <t>EBITDA HOLDING</t>
  </si>
  <si>
    <t>MARGEN EBITDA HOLDING</t>
  </si>
  <si>
    <t>Plan de inversiones Valle</t>
  </si>
  <si>
    <t>Colombia - Valle</t>
  </si>
  <si>
    <t>COP 629.000 millones en 5 años (incluye CETSA)</t>
  </si>
  <si>
    <t>COP 530.000 millones en 5 años. (incluye NT3 y NT4 en Caoba)</t>
  </si>
  <si>
    <t>Inversiones durante 5 años desde 2019</t>
  </si>
  <si>
    <t>Plataforma C2Energía con Cúbico Sustainable Investments | Cabe recordar que el 100% de los beneficios tributarios de esta plataforma se retienen en Celsia y el beneficio de descuento de renta se puede materializar desde el primer año de operación del activo, lo que eleva sustancialmente la tasa de retorno al accionista</t>
  </si>
  <si>
    <t>1T22</t>
  </si>
  <si>
    <t>Otros pasivos</t>
  </si>
  <si>
    <t>1Q22</t>
  </si>
  <si>
    <t>2T22</t>
  </si>
  <si>
    <t>2022 al 2T</t>
  </si>
  <si>
    <t>2Q22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</si>
</sst>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6" formatCode="&quot;$&quot;\ #,##0;[Red]\-&quot;$&quot;\ #,##0"/>
    <numFmt numFmtId="42" formatCode="_-&quot;$&quot;\ * #,##0_-;\-&quot;$&quot;\ * #,##0_-;_-&quot;$&quot;\ * &quot;-&quot;_-;_-@_-"/>
    <numFmt numFmtId="41" formatCode="_-* #,##0_-;\-* #,##0_-;_-* &quot;-&quot;_-;_-@_-"/>
    <numFmt numFmtId="43" formatCode="_-* #,##0.00_-;\-* #,##0.00_-;_-* &quot;-&quot;??_-;_-@_-"/>
    <numFmt numFmtId="164" formatCode="mmmm\-yy"/>
    <numFmt numFmtId="165" formatCode="_(* #,##0_);_(* \(#,##0\);_(* &quot;-&quot;??_);_(@_)"/>
    <numFmt numFmtId="166" formatCode="_-* #,##0_-;\-* #,##0_-;_-* &quot;-&quot;??_-;_-@_-"/>
    <numFmt numFmtId="167" formatCode="_-[$€-2]\ * #,##0_-;\-[$€-2]\ * #,##0_-;_-[$€-2]\ * &quot;-&quot;??_-"/>
    <numFmt numFmtId="168" formatCode="&quot; &quot;#,##0.00&quot; &quot;;&quot; (&quot;#,##0.00&quot;)&quot;;&quot; -&quot;00&quot; &quot;;&quot; &quot;@&quot; &quot;"/>
    <numFmt numFmtId="169" formatCode="&quot; &quot;#,##0&quot; &quot;;&quot; (&quot;#,##0&quot;)&quot;;&quot; -&quot;00&quot; &quot;;&quot; &quot;@&quot; &quot;"/>
    <numFmt numFmtId="170" formatCode="_-* #,##0.0_-;\-* #,##0.0_-;_-* &quot;-&quot;_-;_-@_-"/>
    <numFmt numFmtId="171" formatCode="0.0%"/>
    <numFmt numFmtId="172" formatCode="[$-F800]dddd\,\ mmmm\ dd\,\ yyyy"/>
    <numFmt numFmtId="173" formatCode="_(* #,##0.0_);_(* \(#,##0.0\);_(* &quot;-&quot;??_);_(@_)"/>
    <numFmt numFmtId="174" formatCode="_(* #,##0.00_);_(* \(#,##0.00\);_(* &quot;-&quot;??_);_(@_)"/>
    <numFmt numFmtId="175" formatCode="_-* #,##0.0_-;\-* #,##0.0_-;_-* &quot;-&quot;?_-;_-@_-"/>
    <numFmt numFmtId="176" formatCode="_(&quot;$&quot;\ * #,##0.00_);_(&quot;$&quot;\ * \(#,##0.00\);_(&quot;$&quot;\ * &quot;-&quot;??_);_(@_)"/>
    <numFmt numFmtId="177" formatCode="0.000000"/>
    <numFmt numFmtId="178" formatCode="_([$USD]\ * #,##0.00_);_([$USD]\ * \(#,##0.00\);_([$USD]\ * &quot;-&quot;??_);_(@_)"/>
    <numFmt numFmtId="179" formatCode="_-&quot;$&quot;* #,##0_-;\-&quot;$&quot;* #,##0_-;_-&quot;$&quot;* &quot;-&quot;_-;_-@_-"/>
    <numFmt numFmtId="180" formatCode="_-* #,##0.0_-;\-* #,##0.0_-;_-* &quot;-&quot;??_-;_-@_-"/>
  </numFmts>
  <fonts count="72">
    <font>
      <sz val="11"/>
      <color theme="1"/>
      <name val="Calibri"/>
      <family val="2"/>
      <scheme val="minor"/>
    </font>
    <font>
      <b/>
      <sz val="8"/>
      <name val="Arial"/>
      <family val="2"/>
    </font>
    <font>
      <sz val="8"/>
      <name val="Arial"/>
      <family val="2"/>
    </font>
    <font>
      <sz val="11"/>
      <color theme="1"/>
      <name val="Calibri"/>
      <family val="2"/>
      <scheme val="minor"/>
    </font>
    <font>
      <sz val="10"/>
      <name val="Arial"/>
      <family val="2"/>
    </font>
    <font>
      <b/>
      <sz val="8"/>
      <name val="Arial Narrow"/>
      <family val="2"/>
    </font>
    <font>
      <b/>
      <u/>
      <sz val="8"/>
      <name val="Arial Narrow"/>
      <family val="2"/>
    </font>
    <font>
      <b/>
      <u/>
      <sz val="8"/>
      <name val="Arial"/>
      <family val="2"/>
    </font>
    <font>
      <sz val="8"/>
      <color theme="1"/>
      <name val="Arial"/>
      <family val="2"/>
    </font>
    <font>
      <b/>
      <sz val="8"/>
      <color theme="1"/>
      <name val="Arial"/>
      <family val="2"/>
    </font>
    <font>
      <u/>
      <sz val="8"/>
      <name val="Arial"/>
      <family val="2"/>
    </font>
    <font>
      <u/>
      <sz val="8"/>
      <color rgb="FF0000FF"/>
      <name val="Arial"/>
      <family val="2"/>
    </font>
    <font>
      <b/>
      <u/>
      <sz val="8"/>
      <color theme="1"/>
      <name val="Arial"/>
      <family val="2"/>
    </font>
    <font>
      <u/>
      <sz val="11"/>
      <color theme="10"/>
      <name val="Calibri"/>
      <family val="2"/>
      <scheme val="minor"/>
    </font>
    <font>
      <sz val="8"/>
      <name val="Calibri"/>
      <family val="2"/>
      <scheme val="minor"/>
    </font>
    <font>
      <i/>
      <sz val="8"/>
      <color theme="1"/>
      <name val="Arial"/>
      <family val="2"/>
    </font>
    <font>
      <b/>
      <sz val="9"/>
      <color indexed="81"/>
      <name val="Tahoma"/>
      <family val="2"/>
    </font>
    <font>
      <sz val="8"/>
      <color theme="0" tint="-0.249977111117893"/>
      <name val="Arial"/>
      <family val="2"/>
    </font>
    <font>
      <sz val="8"/>
      <color theme="0" tint="-0.249977111117893"/>
      <name val="Calibri"/>
      <family val="2"/>
      <scheme val="minor"/>
    </font>
    <font>
      <sz val="9"/>
      <color indexed="81"/>
      <name val="Tahoma"/>
      <family val="2"/>
    </font>
    <font>
      <sz val="12"/>
      <name val="宋体"/>
    </font>
    <font>
      <sz val="11"/>
      <color rgb="FF262626"/>
      <name val="Calibri"/>
      <family val="2"/>
    </font>
    <font>
      <b/>
      <sz val="8"/>
      <color rgb="FF262626"/>
      <name val="Arial"/>
      <family val="2"/>
    </font>
    <font>
      <sz val="8"/>
      <color rgb="FF262626"/>
      <name val="Arial"/>
      <family val="2"/>
    </font>
    <font>
      <sz val="8"/>
      <color theme="1" tint="0.34998626667073579"/>
      <name val="Arial"/>
      <family val="2"/>
    </font>
    <font>
      <sz val="8"/>
      <color rgb="FFFF0000"/>
      <name val="Arial"/>
      <family val="2"/>
    </font>
    <font>
      <b/>
      <sz val="14"/>
      <name val="Arial"/>
      <family val="2"/>
    </font>
    <font>
      <b/>
      <sz val="8"/>
      <color theme="1" tint="0.249977111117893"/>
      <name val="Arial"/>
      <family val="2"/>
    </font>
    <font>
      <b/>
      <sz val="9"/>
      <color theme="1"/>
      <name val="Arial"/>
      <family val="2"/>
    </font>
    <font>
      <sz val="8"/>
      <color theme="1" tint="0.249977111117893"/>
      <name val="Arial"/>
      <family val="2"/>
    </font>
    <font>
      <b/>
      <sz val="8"/>
      <color rgb="FF000000"/>
      <name val="Arial"/>
      <family val="2"/>
    </font>
    <font>
      <b/>
      <sz val="8"/>
      <color rgb="FF404040"/>
      <name val="Arial"/>
      <family val="2"/>
    </font>
    <font>
      <sz val="8"/>
      <color theme="1" tint="0.499984740745262"/>
      <name val="Arial"/>
      <family val="2"/>
    </font>
    <font>
      <b/>
      <sz val="11"/>
      <color theme="1"/>
      <name val="Calibri"/>
      <family val="2"/>
      <scheme val="minor"/>
    </font>
    <font>
      <b/>
      <sz val="10"/>
      <color theme="1"/>
      <name val="Arial"/>
      <family val="2"/>
    </font>
    <font>
      <sz val="10"/>
      <color theme="1"/>
      <name val="Arial"/>
      <family val="2"/>
    </font>
    <font>
      <b/>
      <sz val="10"/>
      <name val="Arial"/>
      <family val="2"/>
    </font>
    <font>
      <sz val="8"/>
      <color theme="0" tint="-0.34998626667073579"/>
      <name val="Arial"/>
      <family val="2"/>
    </font>
    <font>
      <sz val="10"/>
      <color theme="0" tint="-0.249977111117893"/>
      <name val="Arial"/>
      <family val="2"/>
    </font>
    <font>
      <u/>
      <sz val="10"/>
      <name val="Arial"/>
      <family val="2"/>
    </font>
    <font>
      <b/>
      <u/>
      <sz val="8"/>
      <color rgb="FF262626"/>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theme="0"/>
      <name val="Arial"/>
      <family val="2"/>
    </font>
    <font>
      <u/>
      <sz val="10"/>
      <color theme="1"/>
      <name val="Arial"/>
      <family val="2"/>
    </font>
    <font>
      <b/>
      <sz val="8"/>
      <color rgb="FF0000CC"/>
      <name val="Arial"/>
      <family val="2"/>
    </font>
    <font>
      <sz val="8"/>
      <color rgb="FF0000CC"/>
      <name val="Arial"/>
      <family val="2"/>
    </font>
    <font>
      <sz val="8"/>
      <color rgb="FFC00000"/>
      <name val="Arial"/>
      <family val="2"/>
    </font>
    <font>
      <sz val="10"/>
      <color theme="1"/>
      <name val="Arial Narrow"/>
      <family val="2"/>
    </font>
    <font>
      <sz val="10"/>
      <color rgb="FF000000"/>
      <name val="Arial Narrow"/>
      <family val="2"/>
    </font>
    <font>
      <b/>
      <sz val="10"/>
      <color theme="1"/>
      <name val="Arial Narrow"/>
      <family val="2"/>
    </font>
    <font>
      <b/>
      <sz val="10"/>
      <color rgb="FF000000"/>
      <name val="Arial Narrow"/>
      <family val="2"/>
    </font>
    <font>
      <u val="singleAccounting"/>
      <sz val="8"/>
      <color theme="1"/>
      <name val="Arial"/>
      <family val="2"/>
    </font>
    <font>
      <u/>
      <sz val="8"/>
      <color theme="10"/>
      <name val="Calibri"/>
      <family val="2"/>
      <scheme val="minor"/>
    </font>
    <font>
      <sz val="11"/>
      <color theme="1"/>
      <name val="Arial"/>
      <family val="2"/>
    </font>
    <font>
      <sz val="11"/>
      <name val="Arial"/>
      <family val="2"/>
    </font>
    <font>
      <b/>
      <sz val="9"/>
      <name val="Arial"/>
      <family val="2"/>
    </font>
    <font>
      <u/>
      <sz val="10"/>
      <color theme="10"/>
      <name val="Arial"/>
      <family val="2"/>
    </font>
    <font>
      <sz val="10"/>
      <color rgb="FF00B0F0"/>
      <name val="Arial"/>
      <family val="2"/>
    </font>
  </fonts>
  <fills count="3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E36C0A"/>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bgColor indexed="64"/>
      </patternFill>
    </fill>
    <fill>
      <patternFill patternType="solid">
        <fgColor rgb="FFFF0000"/>
        <bgColor indexed="64"/>
      </patternFill>
    </fill>
  </fills>
  <borders count="31">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theme="0" tint="-0.14999847407452621"/>
      </left>
      <right/>
      <top/>
      <bottom/>
      <diagonal/>
    </border>
    <border>
      <left style="thin">
        <color theme="0" tint="-0.14999847407452621"/>
      </left>
      <right/>
      <top style="thin">
        <color indexed="64"/>
      </top>
      <bottom style="thin">
        <color indexed="64"/>
      </bottom>
      <diagonal/>
    </border>
    <border>
      <left/>
      <right style="thin">
        <color theme="0" tint="-0.14999847407452621"/>
      </right>
      <top style="thin">
        <color indexed="64"/>
      </top>
      <bottom style="thin">
        <color indexed="64"/>
      </bottom>
      <diagonal/>
    </border>
    <border>
      <left/>
      <right style="thin">
        <color theme="0" tint="-0.14999847407452621"/>
      </right>
      <top/>
      <bottom/>
      <diagonal/>
    </border>
    <border>
      <left style="thin">
        <color indexed="64"/>
      </left>
      <right/>
      <top style="thin">
        <color indexed="64"/>
      </top>
      <bottom style="thin">
        <color indexed="64"/>
      </bottom>
      <diagonal/>
    </border>
    <border>
      <left style="thin">
        <color theme="0" tint="-0.249977111117893"/>
      </left>
      <right/>
      <top/>
      <bottom/>
      <diagonal/>
    </border>
    <border>
      <left style="thin">
        <color theme="0" tint="-0.249977111117893"/>
      </left>
      <right/>
      <top style="thin">
        <color indexed="64"/>
      </top>
      <bottom style="thin">
        <color indexed="64"/>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1"/>
      </left>
      <right style="thin">
        <color theme="1"/>
      </right>
      <top style="thin">
        <color theme="1"/>
      </top>
      <bottom style="thin">
        <color theme="1"/>
      </bottom>
      <diagonal/>
    </border>
  </borders>
  <cellStyleXfs count="148">
    <xf numFmtId="0" fontId="0" fillId="0" borderId="0"/>
    <xf numFmtId="43" fontId="3" fillId="0" borderId="0" applyFont="0" applyFill="0" applyBorder="0" applyAlignment="0" applyProtection="0"/>
    <xf numFmtId="9" fontId="3" fillId="0" borderId="0" applyFont="0" applyFill="0" applyBorder="0" applyAlignment="0" applyProtection="0"/>
    <xf numFmtId="0" fontId="4" fillId="0" borderId="0"/>
    <xf numFmtId="0" fontId="13" fillId="0" borderId="0" applyNumberFormat="0" applyFill="0" applyBorder="0" applyAlignment="0" applyProtection="0"/>
    <xf numFmtId="167" fontId="20" fillId="0" borderId="0"/>
    <xf numFmtId="168" fontId="21" fillId="0" borderId="0">
      <protection locked="0"/>
    </xf>
    <xf numFmtId="167" fontId="20" fillId="0" borderId="0"/>
    <xf numFmtId="41" fontId="3" fillId="0" borderId="0" applyFont="0" applyFill="0" applyBorder="0" applyAlignment="0" applyProtection="0"/>
    <xf numFmtId="172" fontId="3" fillId="0" borderId="0"/>
    <xf numFmtId="174" fontId="3" fillId="0" borderId="0" applyFont="0" applyFill="0" applyBorder="0" applyAlignment="0" applyProtection="0"/>
    <xf numFmtId="42" fontId="3" fillId="0" borderId="0" applyFont="0" applyFill="0" applyBorder="0" applyAlignment="0" applyProtection="0"/>
    <xf numFmtId="0" fontId="41" fillId="0" borderId="0" applyNumberFormat="0" applyFill="0" applyBorder="0" applyAlignment="0" applyProtection="0"/>
    <xf numFmtId="0" fontId="42" fillId="0" borderId="20" applyNumberFormat="0" applyFill="0" applyAlignment="0" applyProtection="0"/>
    <xf numFmtId="0" fontId="43" fillId="0" borderId="21" applyNumberFormat="0" applyFill="0" applyAlignment="0" applyProtection="0"/>
    <xf numFmtId="0" fontId="44" fillId="0" borderId="22" applyNumberFormat="0" applyFill="0" applyAlignment="0" applyProtection="0"/>
    <xf numFmtId="0" fontId="44" fillId="0" borderId="0" applyNumberFormat="0" applyFill="0" applyBorder="0" applyAlignment="0" applyProtection="0"/>
    <xf numFmtId="0" fontId="45" fillId="6" borderId="0" applyNumberFormat="0" applyBorder="0" applyAlignment="0" applyProtection="0"/>
    <xf numFmtId="0" fontId="46" fillId="7" borderId="0" applyNumberFormat="0" applyBorder="0" applyAlignment="0" applyProtection="0"/>
    <xf numFmtId="0" fontId="47" fillId="8" borderId="0" applyNumberFormat="0" applyBorder="0" applyAlignment="0" applyProtection="0"/>
    <xf numFmtId="0" fontId="48" fillId="9" borderId="23" applyNumberFormat="0" applyAlignment="0" applyProtection="0"/>
    <xf numFmtId="0" fontId="49" fillId="10" borderId="24" applyNumberFormat="0" applyAlignment="0" applyProtection="0"/>
    <xf numFmtId="0" fontId="50" fillId="10" borderId="23" applyNumberFormat="0" applyAlignment="0" applyProtection="0"/>
    <xf numFmtId="0" fontId="51" fillId="0" borderId="25" applyNumberFormat="0" applyFill="0" applyAlignment="0" applyProtection="0"/>
    <xf numFmtId="0" fontId="52" fillId="11" borderId="26" applyNumberFormat="0" applyAlignment="0" applyProtection="0"/>
    <xf numFmtId="0" fontId="53" fillId="0" borderId="0" applyNumberFormat="0" applyFill="0" applyBorder="0" applyAlignment="0" applyProtection="0"/>
    <xf numFmtId="0" fontId="3" fillId="12" borderId="27" applyNumberFormat="0" applyFont="0" applyAlignment="0" applyProtection="0"/>
    <xf numFmtId="0" fontId="54" fillId="0" borderId="0" applyNumberFormat="0" applyFill="0" applyBorder="0" applyAlignment="0" applyProtection="0"/>
    <xf numFmtId="0" fontId="33" fillId="0" borderId="28" applyNumberFormat="0" applyFill="0" applyAlignment="0" applyProtection="0"/>
    <xf numFmtId="0" fontId="55"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55"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55"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55"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55"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55"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178" fontId="3" fillId="0" borderId="0"/>
    <xf numFmtId="177" fontId="4" fillId="0" borderId="0">
      <alignment horizontal="left" wrapText="1"/>
    </xf>
    <xf numFmtId="178" fontId="4" fillId="0" borderId="0"/>
    <xf numFmtId="43" fontId="4"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2" fontId="3" fillId="0" borderId="0" applyFont="0" applyFill="0" applyBorder="0" applyAlignment="0" applyProtection="0"/>
    <xf numFmtId="178" fontId="3" fillId="0" borderId="0"/>
    <xf numFmtId="43" fontId="3" fillId="0" borderId="0" applyFont="0" applyFill="0" applyBorder="0" applyAlignment="0" applyProtection="0"/>
    <xf numFmtId="176" fontId="3" fillId="0" borderId="0" applyFont="0" applyFill="0" applyBorder="0" applyAlignment="0" applyProtection="0"/>
    <xf numFmtId="41" fontId="3" fillId="0" borderId="0" applyFont="0" applyFill="0" applyBorder="0" applyAlignment="0" applyProtection="0"/>
    <xf numFmtId="0" fontId="3" fillId="0" borderId="0"/>
    <xf numFmtId="41" fontId="3" fillId="0" borderId="0" applyFont="0" applyFill="0" applyBorder="0" applyAlignment="0" applyProtection="0"/>
    <xf numFmtId="0" fontId="3" fillId="0" borderId="0"/>
    <xf numFmtId="43" fontId="3" fillId="0" borderId="0" applyFont="0" applyFill="0" applyBorder="0" applyAlignment="0" applyProtection="0"/>
    <xf numFmtId="41" fontId="3" fillId="0" borderId="0" applyFont="0" applyFill="0" applyBorder="0" applyAlignment="0" applyProtection="0"/>
    <xf numFmtId="0" fontId="3" fillId="0" borderId="0"/>
    <xf numFmtId="41" fontId="3" fillId="0" borderId="0" applyFont="0" applyFill="0" applyBorder="0" applyAlignment="0" applyProtection="0"/>
    <xf numFmtId="0" fontId="4" fillId="0" borderId="0"/>
    <xf numFmtId="0" fontId="4" fillId="0" borderId="0"/>
    <xf numFmtId="41" fontId="3" fillId="0" borderId="0" applyFont="0" applyFill="0" applyBorder="0" applyAlignment="0" applyProtection="0"/>
    <xf numFmtId="0" fontId="4" fillId="0" borderId="0" applyNumberFormat="0" applyFill="0" applyBorder="0" applyAlignment="0" applyProtection="0"/>
    <xf numFmtId="0" fontId="4" fillId="0" borderId="0"/>
    <xf numFmtId="43" fontId="4" fillId="0" borderId="0" applyFont="0" applyFill="0" applyBorder="0" applyAlignment="0" applyProtection="0"/>
    <xf numFmtId="179" fontId="3" fillId="0" borderId="0" applyFont="0" applyFill="0" applyBorder="0" applyAlignment="0" applyProtection="0"/>
    <xf numFmtId="43" fontId="3" fillId="0" borderId="0" applyFont="0" applyFill="0" applyBorder="0" applyAlignment="0" applyProtection="0"/>
    <xf numFmtId="42" fontId="3" fillId="0" borderId="0" applyFont="0" applyFill="0" applyBorder="0" applyAlignment="0" applyProtection="0"/>
    <xf numFmtId="41"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0" fontId="4" fillId="0" borderId="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0" fontId="4" fillId="0" borderId="0"/>
    <xf numFmtId="0" fontId="3" fillId="0" borderId="0"/>
    <xf numFmtId="41" fontId="3" fillId="0" borderId="0" applyFont="0" applyFill="0" applyBorder="0" applyAlignment="0" applyProtection="0"/>
    <xf numFmtId="42"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1"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4" fillId="0" borderId="0">
      <alignment vertical="top"/>
    </xf>
    <xf numFmtId="41" fontId="3" fillId="0" borderId="0" applyFont="0" applyFill="0" applyBorder="0" applyAlignment="0" applyProtection="0"/>
    <xf numFmtId="43" fontId="3" fillId="0" borderId="0" applyFont="0" applyFill="0" applyBorder="0" applyAlignment="0" applyProtection="0"/>
    <xf numFmtId="9" fontId="4" fillId="0" borderId="0" applyFont="0" applyFill="0" applyBorder="0" applyAlignment="0" applyProtection="0"/>
    <xf numFmtId="0" fontId="3" fillId="0" borderId="0"/>
    <xf numFmtId="174" fontId="3"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cellStyleXfs>
  <cellXfs count="666">
    <xf numFmtId="0" fontId="0" fillId="0" borderId="0" xfId="0"/>
    <xf numFmtId="0" fontId="1" fillId="0" borderId="0" xfId="0" applyFont="1" applyFill="1" applyAlignment="1">
      <alignment vertical="center"/>
    </xf>
    <xf numFmtId="0" fontId="5" fillId="0" borderId="1" xfId="0" applyNumberFormat="1" applyFont="1" applyFill="1" applyBorder="1" applyAlignment="1">
      <alignment horizontal="center" vertical="center" wrapText="1"/>
    </xf>
    <xf numFmtId="1" fontId="6" fillId="0" borderId="0" xfId="0" applyNumberFormat="1" applyFont="1" applyFill="1" applyBorder="1" applyAlignment="1">
      <alignment horizontal="center" vertical="center" wrapText="1"/>
    </xf>
    <xf numFmtId="165" fontId="1" fillId="0" borderId="0" xfId="1" applyNumberFormat="1" applyFont="1" applyFill="1" applyBorder="1" applyAlignment="1">
      <alignment horizontal="left" vertical="center" wrapText="1" readingOrder="1"/>
    </xf>
    <xf numFmtId="165" fontId="2" fillId="0" borderId="0" xfId="1" applyNumberFormat="1" applyFont="1" applyFill="1" applyBorder="1" applyAlignment="1">
      <alignment horizontal="left" vertical="center" wrapText="1" indent="1" readingOrder="1"/>
    </xf>
    <xf numFmtId="165" fontId="2" fillId="0" borderId="2" xfId="1" applyNumberFormat="1" applyFont="1" applyFill="1" applyBorder="1" applyAlignment="1">
      <alignment horizontal="left" vertical="center" wrapText="1" indent="1" readingOrder="1"/>
    </xf>
    <xf numFmtId="0" fontId="7" fillId="0" borderId="0" xfId="0" applyNumberFormat="1" applyFont="1" applyFill="1" applyBorder="1" applyAlignment="1">
      <alignment horizontal="left" vertical="center" wrapText="1" readingOrder="1"/>
    </xf>
    <xf numFmtId="165" fontId="7" fillId="0" borderId="0" xfId="1" applyNumberFormat="1" applyFont="1" applyFill="1" applyBorder="1" applyAlignment="1">
      <alignment horizontal="left" vertical="center" wrapText="1" readingOrder="1"/>
    </xf>
    <xf numFmtId="0" fontId="1" fillId="0" borderId="1" xfId="0" applyNumberFormat="1" applyFont="1" applyFill="1" applyBorder="1" applyAlignment="1">
      <alignment horizontal="left" vertical="center" wrapText="1" readingOrder="1"/>
    </xf>
    <xf numFmtId="165" fontId="1" fillId="0" borderId="1" xfId="1" applyNumberFormat="1" applyFont="1" applyFill="1" applyBorder="1" applyAlignment="1">
      <alignment horizontal="left" vertical="center" wrapText="1" readingOrder="1"/>
    </xf>
    <xf numFmtId="165" fontId="1" fillId="0" borderId="3" xfId="1" applyNumberFormat="1" applyFont="1" applyFill="1" applyBorder="1" applyAlignment="1">
      <alignment horizontal="left" vertical="center" wrapText="1" readingOrder="1"/>
    </xf>
    <xf numFmtId="0" fontId="1" fillId="0" borderId="3" xfId="0" applyNumberFormat="1" applyFont="1" applyFill="1" applyBorder="1" applyAlignment="1">
      <alignment horizontal="left" vertical="center" wrapText="1" readingOrder="1"/>
    </xf>
    <xf numFmtId="0" fontId="1" fillId="0" borderId="0" xfId="0" applyFont="1" applyFill="1" applyBorder="1" applyAlignment="1">
      <alignment vertical="center"/>
    </xf>
    <xf numFmtId="0" fontId="8" fillId="0" borderId="0" xfId="0" applyFont="1"/>
    <xf numFmtId="17" fontId="1" fillId="0" borderId="0" xfId="0" quotePrefix="1" applyNumberFormat="1" applyFont="1" applyFill="1" applyAlignment="1">
      <alignment vertical="center"/>
    </xf>
    <xf numFmtId="0" fontId="1" fillId="0" borderId="1"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Alignment="1">
      <alignment vertical="center"/>
    </xf>
    <xf numFmtId="0" fontId="1" fillId="0" borderId="0" xfId="0" applyFont="1" applyFill="1" applyAlignment="1">
      <alignment horizontal="right" vertical="center"/>
    </xf>
    <xf numFmtId="9" fontId="2" fillId="0" borderId="0" xfId="2" applyFont="1" applyFill="1" applyBorder="1" applyAlignment="1">
      <alignment horizontal="right" vertical="center" wrapText="1"/>
    </xf>
    <xf numFmtId="0" fontId="1" fillId="0" borderId="3" xfId="0" applyFont="1" applyFill="1" applyBorder="1" applyAlignment="1">
      <alignment vertical="center"/>
    </xf>
    <xf numFmtId="0" fontId="1" fillId="0" borderId="2" xfId="0" applyFont="1" applyFill="1" applyBorder="1" applyAlignment="1">
      <alignment vertical="center"/>
    </xf>
    <xf numFmtId="0" fontId="8" fillId="0" borderId="0" xfId="0" applyFont="1" applyFill="1"/>
    <xf numFmtId="0" fontId="1" fillId="0" borderId="1" xfId="0" applyFont="1" applyFill="1" applyBorder="1" applyAlignment="1">
      <alignment horizontal="left" vertical="center"/>
    </xf>
    <xf numFmtId="0" fontId="2" fillId="0" borderId="0" xfId="0" applyFont="1" applyFill="1"/>
    <xf numFmtId="0" fontId="2" fillId="0" borderId="0" xfId="0" applyFont="1" applyFill="1" applyAlignment="1">
      <alignment horizontal="left" vertical="center"/>
    </xf>
    <xf numFmtId="0" fontId="2" fillId="0" borderId="0" xfId="0" applyFont="1" applyFill="1" applyAlignment="1"/>
    <xf numFmtId="0" fontId="1" fillId="0" borderId="5" xfId="0" applyFont="1" applyFill="1" applyBorder="1" applyAlignment="1">
      <alignment vertical="center"/>
    </xf>
    <xf numFmtId="0" fontId="1" fillId="0" borderId="1" xfId="0" applyFont="1" applyFill="1" applyBorder="1" applyAlignment="1">
      <alignment horizontal="justify" vertical="center"/>
    </xf>
    <xf numFmtId="0" fontId="1" fillId="0" borderId="0" xfId="0" applyFont="1" applyFill="1" applyAlignment="1"/>
    <xf numFmtId="165" fontId="2" fillId="0" borderId="0" xfId="1" applyNumberFormat="1" applyFont="1" applyFill="1" applyAlignment="1"/>
    <xf numFmtId="0" fontId="1" fillId="0" borderId="1" xfId="0" applyFont="1" applyFill="1" applyBorder="1" applyAlignment="1">
      <alignment horizontal="left" indent="1"/>
    </xf>
    <xf numFmtId="165" fontId="1" fillId="0" borderId="1" xfId="1" applyNumberFormat="1" applyFont="1" applyFill="1" applyBorder="1"/>
    <xf numFmtId="165" fontId="2" fillId="0" borderId="0" xfId="1" applyNumberFormat="1" applyFont="1" applyFill="1"/>
    <xf numFmtId="0" fontId="2" fillId="0" borderId="0" xfId="0" applyFont="1" applyFill="1" applyBorder="1"/>
    <xf numFmtId="165" fontId="1" fillId="0" borderId="0" xfId="1" applyNumberFormat="1" applyFont="1" applyFill="1" applyBorder="1"/>
    <xf numFmtId="0" fontId="1" fillId="0" borderId="1" xfId="0" applyFont="1" applyFill="1" applyBorder="1" applyAlignment="1">
      <alignment vertical="top"/>
    </xf>
    <xf numFmtId="165" fontId="1" fillId="0" borderId="1" xfId="1" applyNumberFormat="1" applyFont="1" applyFill="1" applyBorder="1" applyAlignment="1"/>
    <xf numFmtId="0" fontId="1" fillId="0" borderId="2" xfId="0" applyFont="1" applyFill="1" applyBorder="1" applyAlignment="1">
      <alignment vertical="top"/>
    </xf>
    <xf numFmtId="165" fontId="2" fillId="0" borderId="2" xfId="1" applyNumberFormat="1" applyFont="1" applyFill="1" applyBorder="1" applyAlignment="1"/>
    <xf numFmtId="0" fontId="1" fillId="0" borderId="0" xfId="0" applyFont="1" applyFill="1" applyBorder="1" applyAlignment="1">
      <alignment vertical="top"/>
    </xf>
    <xf numFmtId="165" fontId="2" fillId="0" borderId="0" xfId="1" applyNumberFormat="1" applyFont="1" applyFill="1" applyBorder="1" applyAlignment="1"/>
    <xf numFmtId="0" fontId="2" fillId="0" borderId="0" xfId="0" applyFont="1" applyFill="1" applyAlignment="1">
      <alignment vertical="top"/>
    </xf>
    <xf numFmtId="0" fontId="2" fillId="0" borderId="0" xfId="0" applyFont="1" applyFill="1" applyBorder="1" applyAlignment="1">
      <alignment vertical="top"/>
    </xf>
    <xf numFmtId="0" fontId="1" fillId="0" borderId="0" xfId="0" applyFont="1" applyFill="1" applyBorder="1" applyAlignment="1"/>
    <xf numFmtId="165" fontId="1" fillId="0" borderId="0" xfId="1" applyNumberFormat="1" applyFont="1" applyFill="1" applyAlignment="1"/>
    <xf numFmtId="9" fontId="1" fillId="0" borderId="2" xfId="1" applyNumberFormat="1" applyFont="1" applyFill="1" applyBorder="1" applyAlignment="1"/>
    <xf numFmtId="9" fontId="1" fillId="0" borderId="1" xfId="2" applyFont="1" applyFill="1" applyBorder="1" applyAlignment="1"/>
    <xf numFmtId="0" fontId="1" fillId="0" borderId="0" xfId="0" applyFont="1" applyFill="1" applyAlignment="1">
      <alignment horizontal="right" vertical="top"/>
    </xf>
    <xf numFmtId="0" fontId="1" fillId="0" borderId="0" xfId="0" applyFont="1" applyFill="1" applyAlignment="1">
      <alignment vertical="top"/>
    </xf>
    <xf numFmtId="0" fontId="2" fillId="0" borderId="0" xfId="0" applyFont="1" applyFill="1" applyAlignment="1">
      <alignment horizontal="right" vertical="top"/>
    </xf>
    <xf numFmtId="0" fontId="2" fillId="0" borderId="0" xfId="0" applyFont="1" applyFill="1" applyAlignment="1">
      <alignment horizontal="justify" vertical="top"/>
    </xf>
    <xf numFmtId="3" fontId="2" fillId="0" borderId="0" xfId="0" applyNumberFormat="1" applyFont="1" applyFill="1" applyAlignment="1">
      <alignment horizontal="right" vertical="top"/>
    </xf>
    <xf numFmtId="3" fontId="1" fillId="0" borderId="2" xfId="0" applyNumberFormat="1" applyFont="1" applyFill="1" applyBorder="1" applyAlignment="1">
      <alignment horizontal="right" vertical="top"/>
    </xf>
    <xf numFmtId="3" fontId="2" fillId="0" borderId="0" xfId="0" applyNumberFormat="1" applyFont="1" applyFill="1" applyAlignment="1"/>
    <xf numFmtId="0" fontId="1" fillId="0" borderId="2" xfId="0" applyFont="1" applyFill="1" applyBorder="1" applyAlignment="1">
      <alignment horizontal="left" vertical="top"/>
    </xf>
    <xf numFmtId="0" fontId="1" fillId="0" borderId="0" xfId="0" applyFont="1" applyFill="1" applyAlignment="1">
      <alignment horizontal="justify" vertical="top"/>
    </xf>
    <xf numFmtId="3" fontId="1" fillId="0" borderId="0" xfId="0" applyNumberFormat="1" applyFont="1" applyFill="1" applyAlignment="1">
      <alignment horizontal="right" vertical="top"/>
    </xf>
    <xf numFmtId="0" fontId="1" fillId="0" borderId="0" xfId="0" applyFont="1" applyFill="1" applyAlignment="1">
      <alignment horizontal="left" vertical="top"/>
    </xf>
    <xf numFmtId="165" fontId="2" fillId="0" borderId="0" xfId="0" applyNumberFormat="1" applyFont="1" applyFill="1"/>
    <xf numFmtId="165" fontId="7" fillId="0" borderId="1" xfId="1" quotePrefix="1" applyNumberFormat="1" applyFont="1" applyFill="1" applyBorder="1" applyAlignment="1">
      <alignment horizontal="center" vertical="center"/>
    </xf>
    <xf numFmtId="165" fontId="2" fillId="0" borderId="0" xfId="0" applyNumberFormat="1" applyFont="1" applyFill="1" applyAlignment="1">
      <alignment vertical="center"/>
    </xf>
    <xf numFmtId="165" fontId="2" fillId="0" borderId="0" xfId="0" applyNumberFormat="1" applyFont="1" applyFill="1" applyBorder="1" applyAlignment="1">
      <alignment vertical="center" wrapText="1"/>
    </xf>
    <xf numFmtId="165" fontId="2" fillId="0" borderId="2" xfId="0" applyNumberFormat="1" applyFont="1" applyFill="1" applyBorder="1" applyAlignment="1">
      <alignment vertical="center"/>
    </xf>
    <xf numFmtId="165" fontId="10" fillId="0" borderId="0" xfId="1" applyNumberFormat="1" applyFont="1" applyFill="1" applyBorder="1" applyAlignment="1">
      <alignment horizontal="center" vertical="center"/>
    </xf>
    <xf numFmtId="165" fontId="2" fillId="0" borderId="0" xfId="1" applyNumberFormat="1" applyFont="1" applyFill="1" applyAlignment="1">
      <alignment vertical="center"/>
    </xf>
    <xf numFmtId="165" fontId="1" fillId="0" borderId="1" xfId="1" applyNumberFormat="1" applyFont="1" applyFill="1" applyBorder="1" applyAlignment="1">
      <alignment vertical="center"/>
    </xf>
    <xf numFmtId="165" fontId="1" fillId="0" borderId="1" xfId="1" applyNumberFormat="1" applyFont="1" applyFill="1" applyBorder="1" applyAlignment="1">
      <alignment horizontal="right" vertical="center" wrapText="1"/>
    </xf>
    <xf numFmtId="165" fontId="2" fillId="0" borderId="0" xfId="2" applyNumberFormat="1" applyFont="1" applyFill="1" applyBorder="1" applyAlignment="1">
      <alignment horizontal="right" vertical="center" wrapText="1"/>
    </xf>
    <xf numFmtId="165" fontId="2" fillId="0" borderId="0" xfId="1" applyNumberFormat="1" applyFont="1" applyFill="1" applyBorder="1" applyAlignment="1">
      <alignment horizontal="right" vertical="center" wrapText="1"/>
    </xf>
    <xf numFmtId="165" fontId="2" fillId="0" borderId="0" xfId="1" applyNumberFormat="1" applyFont="1" applyFill="1" applyBorder="1" applyAlignment="1">
      <alignment vertical="center"/>
    </xf>
    <xf numFmtId="165" fontId="1" fillId="0" borderId="3" xfId="0" applyNumberFormat="1" applyFont="1" applyFill="1" applyBorder="1" applyAlignment="1">
      <alignment vertical="center"/>
    </xf>
    <xf numFmtId="165" fontId="2" fillId="0" borderId="0" xfId="0" applyNumberFormat="1" applyFont="1" applyFill="1" applyAlignment="1">
      <alignment horizontal="right" vertical="center"/>
    </xf>
    <xf numFmtId="165" fontId="1" fillId="0" borderId="0" xfId="0" applyNumberFormat="1" applyFont="1" applyFill="1" applyAlignment="1">
      <alignment horizontal="right" vertical="center"/>
    </xf>
    <xf numFmtId="165" fontId="1" fillId="0" borderId="0" xfId="0" applyNumberFormat="1" applyFont="1" applyFill="1" applyAlignment="1">
      <alignment vertical="center"/>
    </xf>
    <xf numFmtId="165" fontId="1" fillId="0" borderId="1" xfId="0" applyNumberFormat="1" applyFont="1" applyFill="1" applyBorder="1" applyAlignment="1">
      <alignment horizontal="right" vertical="center"/>
    </xf>
    <xf numFmtId="9" fontId="1" fillId="0" borderId="0" xfId="2" applyFont="1" applyFill="1" applyBorder="1" applyAlignment="1">
      <alignment horizontal="right" vertical="center" wrapText="1"/>
    </xf>
    <xf numFmtId="9" fontId="1" fillId="0" borderId="2" xfId="2" applyFont="1" applyFill="1" applyBorder="1" applyAlignment="1">
      <alignment vertical="center"/>
    </xf>
    <xf numFmtId="0" fontId="5"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left" vertical="center" wrapText="1" indent="2" readingOrder="1"/>
    </xf>
    <xf numFmtId="0" fontId="2" fillId="0" borderId="2" xfId="0" applyNumberFormat="1" applyFont="1" applyFill="1" applyBorder="1" applyAlignment="1">
      <alignment horizontal="left" vertical="center" wrapText="1" indent="2" readingOrder="1"/>
    </xf>
    <xf numFmtId="0" fontId="7" fillId="0" borderId="0" xfId="0" applyNumberFormat="1" applyFont="1" applyFill="1" applyBorder="1" applyAlignment="1">
      <alignment horizontal="left" vertical="center" wrapText="1" indent="1" readingOrder="1"/>
    </xf>
    <xf numFmtId="0" fontId="1" fillId="2" borderId="5" xfId="0" applyFont="1" applyFill="1" applyBorder="1" applyAlignment="1">
      <alignment vertical="center"/>
    </xf>
    <xf numFmtId="164" fontId="1" fillId="0" borderId="1" xfId="0" applyNumberFormat="1" applyFont="1" applyFill="1" applyBorder="1" applyAlignment="1">
      <alignment horizontal="center" vertical="center"/>
    </xf>
    <xf numFmtId="164" fontId="1" fillId="3" borderId="1" xfId="0" applyNumberFormat="1" applyFont="1" applyFill="1" applyBorder="1" applyAlignment="1">
      <alignment horizontal="center" vertical="center"/>
    </xf>
    <xf numFmtId="0" fontId="2" fillId="3" borderId="0" xfId="0" applyFont="1" applyFill="1" applyBorder="1" applyAlignment="1">
      <alignment vertical="center"/>
    </xf>
    <xf numFmtId="0" fontId="8" fillId="0" borderId="0" xfId="0" applyFont="1" applyAlignment="1"/>
    <xf numFmtId="0" fontId="8" fillId="0" borderId="0" xfId="0" applyFont="1" applyBorder="1" applyAlignment="1">
      <alignment vertical="center" wrapText="1"/>
    </xf>
    <xf numFmtId="0" fontId="9" fillId="0" borderId="0" xfId="0" applyFont="1" applyAlignment="1">
      <alignment horizontal="center"/>
    </xf>
    <xf numFmtId="0" fontId="12" fillId="0" borderId="0" xfId="0" applyFont="1" applyAlignment="1">
      <alignment horizontal="left"/>
    </xf>
    <xf numFmtId="0" fontId="1" fillId="0" borderId="1" xfId="0" applyNumberFormat="1" applyFont="1" applyFill="1" applyBorder="1" applyAlignment="1">
      <alignment horizontal="center" vertical="center"/>
    </xf>
    <xf numFmtId="0" fontId="2" fillId="0" borderId="0" xfId="0" applyFont="1"/>
    <xf numFmtId="0" fontId="8" fillId="0" borderId="0" xfId="0" applyFont="1" applyAlignment="1">
      <alignment horizontal="center"/>
    </xf>
    <xf numFmtId="0" fontId="2" fillId="0" borderId="0" xfId="0" applyFont="1" applyAlignment="1">
      <alignment horizontal="center"/>
    </xf>
    <xf numFmtId="0" fontId="13" fillId="0" borderId="0" xfId="4"/>
    <xf numFmtId="0" fontId="11" fillId="0" borderId="0" xfId="0" applyFont="1" applyBorder="1" applyAlignment="1">
      <alignment vertical="center"/>
    </xf>
    <xf numFmtId="0" fontId="9" fillId="0" borderId="0" xfId="0" applyFont="1" applyAlignment="1">
      <alignment horizontal="center" vertical="center"/>
    </xf>
    <xf numFmtId="0" fontId="8" fillId="0" borderId="0" xfId="0" applyFont="1" applyAlignment="1">
      <alignment vertical="center"/>
    </xf>
    <xf numFmtId="0" fontId="2" fillId="0" borderId="0" xfId="0" applyFont="1" applyFill="1" applyAlignment="1">
      <alignment vertical="center" wrapText="1"/>
    </xf>
    <xf numFmtId="0" fontId="1" fillId="0" borderId="0" xfId="0" applyFont="1" applyFill="1"/>
    <xf numFmtId="1" fontId="14" fillId="0" borderId="0" xfId="0" applyNumberFormat="1" applyFont="1" applyBorder="1" applyAlignment="1">
      <alignment wrapText="1"/>
    </xf>
    <xf numFmtId="0" fontId="14" fillId="0" borderId="0" xfId="0" applyFont="1"/>
    <xf numFmtId="165" fontId="14" fillId="0" borderId="0" xfId="1" applyNumberFormat="1" applyFont="1"/>
    <xf numFmtId="0" fontId="1" fillId="0" borderId="0" xfId="0" applyFont="1"/>
    <xf numFmtId="9" fontId="2" fillId="0" borderId="0" xfId="2" applyFont="1"/>
    <xf numFmtId="166" fontId="2" fillId="0" borderId="0" xfId="1" applyNumberFormat="1" applyFont="1"/>
    <xf numFmtId="0" fontId="2" fillId="3" borderId="0" xfId="0" applyFont="1" applyFill="1"/>
    <xf numFmtId="0" fontId="2" fillId="0" borderId="0" xfId="0" applyFont="1" applyAlignment="1">
      <alignment horizontal="right"/>
    </xf>
    <xf numFmtId="0" fontId="2" fillId="0" borderId="0" xfId="0" applyFont="1" applyAlignment="1"/>
    <xf numFmtId="0" fontId="2" fillId="2" borderId="5" xfId="0" applyFont="1" applyFill="1" applyBorder="1"/>
    <xf numFmtId="0" fontId="2" fillId="2" borderId="5" xfId="0" applyFont="1" applyFill="1" applyBorder="1" applyAlignment="1"/>
    <xf numFmtId="0" fontId="13" fillId="0" borderId="0" xfId="4" applyBorder="1" applyAlignment="1">
      <alignment vertical="center"/>
    </xf>
    <xf numFmtId="9" fontId="1" fillId="0" borderId="2" xfId="2" applyNumberFormat="1" applyFont="1" applyFill="1" applyBorder="1" applyAlignment="1">
      <alignment vertical="center"/>
    </xf>
    <xf numFmtId="165" fontId="2" fillId="0" borderId="0" xfId="0" applyNumberFormat="1" applyFont="1" applyFill="1" applyBorder="1" applyAlignment="1">
      <alignment vertical="center"/>
    </xf>
    <xf numFmtId="164" fontId="1" fillId="3" borderId="1" xfId="0" quotePrefix="1" applyNumberFormat="1" applyFont="1" applyFill="1" applyBorder="1" applyAlignment="1">
      <alignment horizontal="center" vertical="center"/>
    </xf>
    <xf numFmtId="166" fontId="7" fillId="0" borderId="1" xfId="1" quotePrefix="1" applyNumberFormat="1" applyFont="1" applyFill="1" applyBorder="1" applyAlignment="1">
      <alignment horizontal="center" vertical="center"/>
    </xf>
    <xf numFmtId="166" fontId="2" fillId="0" borderId="0" xfId="1" applyNumberFormat="1" applyFont="1" applyFill="1"/>
    <xf numFmtId="166" fontId="7" fillId="0" borderId="1" xfId="1" quotePrefix="1" applyNumberFormat="1" applyFont="1" applyFill="1" applyBorder="1" applyAlignment="1">
      <alignment horizontal="center"/>
    </xf>
    <xf numFmtId="166" fontId="1" fillId="2" borderId="1" xfId="1" quotePrefix="1" applyNumberFormat="1" applyFont="1" applyFill="1" applyBorder="1" applyAlignment="1">
      <alignment horizontal="center" vertical="center"/>
    </xf>
    <xf numFmtId="0" fontId="1" fillId="2" borderId="2" xfId="0" applyNumberFormat="1" applyFont="1" applyFill="1" applyBorder="1" applyAlignment="1">
      <alignment horizontal="left" vertical="center" wrapText="1" indent="2" readingOrder="1"/>
    </xf>
    <xf numFmtId="165" fontId="1" fillId="2" borderId="2" xfId="1" applyNumberFormat="1" applyFont="1" applyFill="1" applyBorder="1" applyAlignment="1">
      <alignment horizontal="left" vertical="center" wrapText="1" readingOrder="1"/>
    </xf>
    <xf numFmtId="0" fontId="1" fillId="2" borderId="1" xfId="0" applyNumberFormat="1" applyFont="1" applyFill="1" applyBorder="1" applyAlignment="1">
      <alignment horizontal="left" vertical="center" wrapText="1" indent="2" readingOrder="1"/>
    </xf>
    <xf numFmtId="165" fontId="1" fillId="2" borderId="1" xfId="1" applyNumberFormat="1" applyFont="1" applyFill="1" applyBorder="1" applyAlignment="1">
      <alignment horizontal="left" vertical="center" wrapText="1" readingOrder="1"/>
    </xf>
    <xf numFmtId="0" fontId="1" fillId="2" borderId="4" xfId="0" applyNumberFormat="1" applyFont="1" applyFill="1" applyBorder="1" applyAlignment="1">
      <alignment horizontal="left" vertical="center" wrapText="1" indent="2" readingOrder="1"/>
    </xf>
    <xf numFmtId="165" fontId="1" fillId="2" borderId="4" xfId="1" applyNumberFormat="1" applyFont="1" applyFill="1" applyBorder="1" applyAlignment="1">
      <alignment horizontal="left" vertical="center" wrapText="1" readingOrder="1"/>
    </xf>
    <xf numFmtId="165" fontId="1" fillId="2" borderId="3" xfId="1" applyNumberFormat="1" applyFont="1" applyFill="1" applyBorder="1" applyAlignment="1">
      <alignment horizontal="left" vertical="center" wrapText="1" readingOrder="1"/>
    </xf>
    <xf numFmtId="0" fontId="1" fillId="2" borderId="3" xfId="0" applyNumberFormat="1" applyFont="1" applyFill="1" applyBorder="1" applyAlignment="1">
      <alignment horizontal="left" vertical="center" wrapText="1" indent="1" readingOrder="1"/>
    </xf>
    <xf numFmtId="166" fontId="2" fillId="0" borderId="2" xfId="1" applyNumberFormat="1" applyFont="1" applyFill="1" applyBorder="1"/>
    <xf numFmtId="166" fontId="2" fillId="0" borderId="0" xfId="1" applyNumberFormat="1" applyFont="1" applyFill="1" applyBorder="1"/>
    <xf numFmtId="0" fontId="17" fillId="0" borderId="0" xfId="0" applyNumberFormat="1" applyFont="1" applyFill="1" applyBorder="1" applyAlignment="1">
      <alignment horizontal="left" vertical="center" wrapText="1" indent="2" readingOrder="1"/>
    </xf>
    <xf numFmtId="165" fontId="17" fillId="0" borderId="0" xfId="1" applyNumberFormat="1" applyFont="1" applyFill="1" applyBorder="1" applyAlignment="1">
      <alignment horizontal="left" vertical="center" wrapText="1" indent="1" readingOrder="1"/>
    </xf>
    <xf numFmtId="165" fontId="17" fillId="0" borderId="0" xfId="1" applyNumberFormat="1" applyFont="1" applyFill="1" applyBorder="1" applyAlignment="1">
      <alignment horizontal="center" vertical="center" wrapText="1" readingOrder="1"/>
    </xf>
    <xf numFmtId="0" fontId="18" fillId="0" borderId="0" xfId="0" applyFont="1"/>
    <xf numFmtId="0" fontId="17" fillId="0" borderId="2" xfId="0" applyNumberFormat="1" applyFont="1" applyFill="1" applyBorder="1" applyAlignment="1">
      <alignment horizontal="left" vertical="center" wrapText="1" indent="2" readingOrder="1"/>
    </xf>
    <xf numFmtId="165" fontId="17" fillId="0" borderId="2" xfId="1" applyNumberFormat="1" applyFont="1" applyFill="1" applyBorder="1" applyAlignment="1">
      <alignment horizontal="left" vertical="center" wrapText="1" indent="1" readingOrder="1"/>
    </xf>
    <xf numFmtId="165" fontId="17" fillId="0" borderId="2" xfId="1" applyNumberFormat="1" applyFont="1" applyFill="1" applyBorder="1" applyAlignment="1">
      <alignment horizontal="center" vertical="center" wrapText="1" readingOrder="1"/>
    </xf>
    <xf numFmtId="165" fontId="2" fillId="0" borderId="0" xfId="0" applyNumberFormat="1" applyFont="1" applyFill="1" applyAlignment="1">
      <alignment horizontal="left" vertical="center"/>
    </xf>
    <xf numFmtId="165" fontId="2" fillId="0" borderId="0" xfId="0" applyNumberFormat="1" applyFont="1" applyFill="1" applyAlignment="1">
      <alignment horizontal="left"/>
    </xf>
    <xf numFmtId="165" fontId="1" fillId="0" borderId="0" xfId="0" applyNumberFormat="1" applyFont="1" applyFill="1" applyAlignment="1">
      <alignment horizontal="left" vertical="center"/>
    </xf>
    <xf numFmtId="165" fontId="1" fillId="0" borderId="1" xfId="0" applyNumberFormat="1" applyFont="1" applyFill="1" applyBorder="1" applyAlignment="1">
      <alignment horizontal="left" vertical="center"/>
    </xf>
    <xf numFmtId="0" fontId="2" fillId="0" borderId="0" xfId="0" applyNumberFormat="1" applyFont="1" applyFill="1" applyBorder="1" applyAlignment="1">
      <alignment horizontal="left" vertical="center" wrapText="1" indent="3" readingOrder="1"/>
    </xf>
    <xf numFmtId="0" fontId="2" fillId="0" borderId="3" xfId="0" applyNumberFormat="1" applyFont="1" applyFill="1" applyBorder="1" applyAlignment="1">
      <alignment horizontal="left" vertical="center" wrapText="1" indent="3" readingOrder="1"/>
    </xf>
    <xf numFmtId="165" fontId="2" fillId="0" borderId="3" xfId="1" applyNumberFormat="1" applyFont="1" applyFill="1" applyBorder="1" applyAlignment="1">
      <alignment horizontal="left" vertical="center" wrapText="1" readingOrder="1"/>
    </xf>
    <xf numFmtId="166" fontId="1" fillId="2" borderId="1" xfId="1" quotePrefix="1" applyNumberFormat="1" applyFont="1" applyFill="1" applyBorder="1" applyAlignment="1">
      <alignment horizontal="right" vertical="center"/>
    </xf>
    <xf numFmtId="0" fontId="1" fillId="2" borderId="4" xfId="0" applyFont="1" applyFill="1" applyBorder="1" applyAlignment="1">
      <alignment vertical="center"/>
    </xf>
    <xf numFmtId="0" fontId="2" fillId="0" borderId="6" xfId="0" applyFont="1" applyBorder="1" applyAlignment="1">
      <alignment horizontal="left" vertical="top" wrapText="1"/>
    </xf>
    <xf numFmtId="0" fontId="2" fillId="0" borderId="0" xfId="0" applyFont="1" applyAlignment="1">
      <alignment wrapText="1"/>
    </xf>
    <xf numFmtId="0" fontId="2" fillId="0" borderId="0" xfId="0" applyFont="1" applyAlignment="1">
      <alignment horizontal="center" vertical="center" wrapText="1"/>
    </xf>
    <xf numFmtId="0" fontId="9" fillId="0" borderId="0" xfId="0" applyFont="1" applyBorder="1" applyAlignment="1">
      <alignment vertical="center" wrapText="1"/>
    </xf>
    <xf numFmtId="0" fontId="9" fillId="0" borderId="0" xfId="0" applyFont="1" applyAlignment="1">
      <alignment vertical="center"/>
    </xf>
    <xf numFmtId="166" fontId="2" fillId="0" borderId="0" xfId="6" applyNumberFormat="1" applyFont="1" applyProtection="1"/>
    <xf numFmtId="166" fontId="1" fillId="0" borderId="0" xfId="6" applyNumberFormat="1" applyFont="1" applyAlignment="1" applyProtection="1">
      <alignment horizontal="center" vertical="top" wrapText="1"/>
    </xf>
    <xf numFmtId="167" fontId="2" fillId="0" borderId="0" xfId="5" applyFont="1" applyAlignment="1">
      <alignment horizontal="center" vertical="top" wrapText="1"/>
    </xf>
    <xf numFmtId="165" fontId="2" fillId="0" borderId="2" xfId="1" applyNumberFormat="1" applyFont="1" applyFill="1" applyBorder="1"/>
    <xf numFmtId="167" fontId="1" fillId="0" borderId="0" xfId="5" applyFont="1" applyAlignment="1">
      <alignment horizontal="center" vertical="top" wrapText="1"/>
    </xf>
    <xf numFmtId="2" fontId="2" fillId="0" borderId="6" xfId="1" applyNumberFormat="1" applyFont="1" applyBorder="1" applyAlignment="1">
      <alignment horizontal="center" vertical="top" wrapText="1"/>
    </xf>
    <xf numFmtId="165" fontId="2" fillId="0" borderId="0" xfId="1" applyNumberFormat="1" applyFont="1" applyFill="1" applyBorder="1" applyAlignment="1">
      <alignment horizontal="center" vertical="center" wrapText="1" readingOrder="1"/>
    </xf>
    <xf numFmtId="165" fontId="2" fillId="0" borderId="2" xfId="1" applyNumberFormat="1" applyFont="1" applyFill="1" applyBorder="1" applyAlignment="1">
      <alignment horizontal="center" vertical="center" wrapText="1" readingOrder="1"/>
    </xf>
    <xf numFmtId="0" fontId="1" fillId="0" borderId="1" xfId="0" applyFont="1" applyFill="1" applyBorder="1"/>
    <xf numFmtId="0" fontId="2" fillId="0" borderId="2" xfId="0" applyFont="1" applyFill="1" applyBorder="1"/>
    <xf numFmtId="166" fontId="1" fillId="0" borderId="0" xfId="1" applyNumberFormat="1" applyFont="1" applyFill="1"/>
    <xf numFmtId="0" fontId="2" fillId="0" borderId="2" xfId="0" applyFont="1" applyFill="1" applyBorder="1" applyAlignment="1">
      <alignment horizontal="left" indent="1"/>
    </xf>
    <xf numFmtId="0" fontId="2" fillId="0" borderId="0" xfId="0" applyFont="1" applyFill="1" applyAlignment="1">
      <alignment horizontal="left" vertical="top"/>
    </xf>
    <xf numFmtId="165" fontId="2" fillId="0" borderId="0" xfId="1" applyNumberFormat="1" applyFont="1" applyFill="1" applyAlignment="1">
      <alignment horizontal="right" vertical="center"/>
    </xf>
    <xf numFmtId="170" fontId="2" fillId="0" borderId="0" xfId="8" applyNumberFormat="1" applyFont="1"/>
    <xf numFmtId="170" fontId="2" fillId="2" borderId="5" xfId="8" applyNumberFormat="1" applyFont="1" applyFill="1" applyBorder="1"/>
    <xf numFmtId="170" fontId="1" fillId="0" borderId="6" xfId="8" applyNumberFormat="1" applyFont="1" applyBorder="1" applyAlignment="1">
      <alignment horizontal="center" vertical="center" wrapText="1"/>
    </xf>
    <xf numFmtId="170" fontId="2" fillId="0" borderId="6" xfId="8" applyNumberFormat="1" applyFont="1" applyBorder="1" applyAlignment="1">
      <alignment horizontal="center" vertical="top" wrapText="1"/>
    </xf>
    <xf numFmtId="1" fontId="2" fillId="0" borderId="0" xfId="1" applyNumberFormat="1" applyFont="1" applyFill="1" applyBorder="1" applyAlignment="1">
      <alignment vertical="center"/>
    </xf>
    <xf numFmtId="164" fontId="1" fillId="3" borderId="13" xfId="0" applyNumberFormat="1" applyFont="1" applyFill="1" applyBorder="1" applyAlignment="1">
      <alignment horizontal="center" vertical="center"/>
    </xf>
    <xf numFmtId="164" fontId="1" fillId="3" borderId="13" xfId="0" quotePrefix="1" applyNumberFormat="1" applyFont="1" applyFill="1" applyBorder="1" applyAlignment="1">
      <alignment horizontal="center" vertical="center"/>
    </xf>
    <xf numFmtId="164" fontId="1" fillId="3" borderId="14" xfId="0" applyNumberFormat="1" applyFont="1" applyFill="1" applyBorder="1" applyAlignment="1">
      <alignment horizontal="center" vertical="center"/>
    </xf>
    <xf numFmtId="0" fontId="2" fillId="0" borderId="0" xfId="0" applyFont="1" applyBorder="1"/>
    <xf numFmtId="0" fontId="2" fillId="0" borderId="12" xfId="0" applyFont="1" applyBorder="1" applyAlignment="1">
      <alignment horizontal="right"/>
    </xf>
    <xf numFmtId="0" fontId="2" fillId="0" borderId="0" xfId="0" applyFont="1" applyBorder="1" applyAlignment="1">
      <alignment horizontal="right"/>
    </xf>
    <xf numFmtId="0" fontId="2" fillId="0" borderId="15" xfId="0" applyFont="1" applyBorder="1" applyAlignment="1">
      <alignment horizontal="right"/>
    </xf>
    <xf numFmtId="41" fontId="2" fillId="0" borderId="0" xfId="8" applyFont="1" applyFill="1"/>
    <xf numFmtId="41" fontId="2" fillId="0" borderId="2" xfId="8" applyFont="1" applyFill="1" applyBorder="1"/>
    <xf numFmtId="165" fontId="24" fillId="0" borderId="0" xfId="0" applyNumberFormat="1" applyFont="1" applyFill="1" applyAlignment="1">
      <alignment horizontal="right" vertical="center"/>
    </xf>
    <xf numFmtId="0" fontId="24" fillId="0" borderId="0" xfId="0" applyFont="1" applyFill="1"/>
    <xf numFmtId="0" fontId="1" fillId="0" borderId="1" xfId="0" applyFont="1" applyFill="1" applyBorder="1" applyAlignment="1">
      <alignment horizontal="left" vertical="top"/>
    </xf>
    <xf numFmtId="0" fontId="1" fillId="0" borderId="1" xfId="0" applyFont="1" applyFill="1" applyBorder="1" applyAlignment="1">
      <alignment horizontal="left" vertical="top" wrapText="1"/>
    </xf>
    <xf numFmtId="0" fontId="24" fillId="0" borderId="0" xfId="0" applyFont="1" applyFill="1" applyAlignment="1"/>
    <xf numFmtId="170" fontId="25" fillId="0" borderId="0" xfId="8" applyNumberFormat="1" applyFont="1"/>
    <xf numFmtId="166" fontId="7" fillId="2" borderId="1" xfId="1" quotePrefix="1" applyNumberFormat="1" applyFont="1" applyFill="1" applyBorder="1" applyAlignment="1">
      <alignment horizontal="center" vertical="center"/>
    </xf>
    <xf numFmtId="0" fontId="1" fillId="0" borderId="0" xfId="0" applyFont="1" applyFill="1" applyBorder="1" applyAlignment="1">
      <alignment vertical="top" wrapText="1"/>
    </xf>
    <xf numFmtId="17" fontId="1" fillId="0" borderId="0" xfId="0" quotePrefix="1" applyNumberFormat="1" applyFont="1" applyFill="1"/>
    <xf numFmtId="0" fontId="2" fillId="0" borderId="1" xfId="0" applyFont="1" applyFill="1" applyBorder="1"/>
    <xf numFmtId="0" fontId="1" fillId="0" borderId="1" xfId="0" applyFont="1" applyFill="1" applyBorder="1" applyAlignment="1">
      <alignment horizontal="center"/>
    </xf>
    <xf numFmtId="0" fontId="2" fillId="0" borderId="0" xfId="0" applyFont="1" applyFill="1" applyBorder="1" applyAlignment="1">
      <alignment vertical="top" wrapText="1"/>
    </xf>
    <xf numFmtId="3" fontId="2" fillId="0" borderId="0" xfId="0" applyNumberFormat="1" applyFont="1" applyFill="1" applyBorder="1" applyAlignment="1">
      <alignment vertical="top" wrapText="1"/>
    </xf>
    <xf numFmtId="3" fontId="1" fillId="0" borderId="0" xfId="0" applyNumberFormat="1" applyFont="1" applyBorder="1" applyAlignment="1">
      <alignment horizontal="right" vertical="center" wrapText="1"/>
    </xf>
    <xf numFmtId="3" fontId="1" fillId="0" borderId="0" xfId="0" applyNumberFormat="1" applyFont="1" applyFill="1" applyBorder="1" applyAlignment="1">
      <alignment vertical="top" wrapText="1"/>
    </xf>
    <xf numFmtId="0" fontId="1" fillId="4" borderId="0" xfId="0" applyFont="1" applyFill="1" applyBorder="1"/>
    <xf numFmtId="0" fontId="1" fillId="0" borderId="0" xfId="0" applyFont="1" applyFill="1" applyBorder="1" applyAlignment="1">
      <alignment wrapText="1"/>
    </xf>
    <xf numFmtId="0" fontId="2" fillId="0" borderId="0" xfId="0" applyFont="1" applyFill="1" applyAlignment="1">
      <alignment vertical="top" wrapText="1"/>
    </xf>
    <xf numFmtId="0" fontId="1" fillId="0" borderId="0" xfId="0" applyFont="1" applyFill="1" applyAlignment="1">
      <alignment horizontal="right" vertical="top" wrapText="1"/>
    </xf>
    <xf numFmtId="0" fontId="1" fillId="0" borderId="0" xfId="0" applyFont="1" applyFill="1" applyBorder="1" applyAlignment="1">
      <alignment horizontal="right" vertical="top" wrapText="1"/>
    </xf>
    <xf numFmtId="0" fontId="1" fillId="4" borderId="0" xfId="0" applyFont="1" applyFill="1"/>
    <xf numFmtId="171" fontId="1" fillId="0" borderId="0" xfId="2" applyNumberFormat="1" applyFont="1" applyFill="1" applyBorder="1" applyAlignment="1">
      <alignment horizontal="right" vertical="top" wrapText="1"/>
    </xf>
    <xf numFmtId="0" fontId="1" fillId="0" borderId="0" xfId="0" applyFont="1" applyBorder="1"/>
    <xf numFmtId="0" fontId="2" fillId="0" borderId="0" xfId="0" applyFont="1" applyAlignment="1">
      <alignment horizontal="left"/>
    </xf>
    <xf numFmtId="0" fontId="1" fillId="0" borderId="3" xfId="0" applyFont="1" applyFill="1" applyBorder="1" applyAlignment="1">
      <alignment vertical="top" wrapText="1"/>
    </xf>
    <xf numFmtId="0" fontId="1" fillId="0" borderId="2" xfId="0" applyFont="1" applyFill="1" applyBorder="1" applyAlignment="1">
      <alignment vertical="top" wrapText="1"/>
    </xf>
    <xf numFmtId="0" fontId="27" fillId="0" borderId="0" xfId="0" applyFont="1" applyFill="1" applyBorder="1" applyAlignment="1">
      <alignment vertical="center" wrapText="1"/>
    </xf>
    <xf numFmtId="0" fontId="27" fillId="0" borderId="0" xfId="0" applyFont="1" applyFill="1" applyBorder="1" applyAlignment="1">
      <alignment vertical="top" wrapText="1"/>
    </xf>
    <xf numFmtId="17" fontId="27" fillId="0" borderId="0" xfId="0" quotePrefix="1" applyNumberFormat="1" applyFont="1" applyFill="1"/>
    <xf numFmtId="0" fontId="28" fillId="0" borderId="0" xfId="0" applyFont="1" applyBorder="1" applyAlignment="1">
      <alignment horizontal="center"/>
    </xf>
    <xf numFmtId="0" fontId="28" fillId="0" borderId="2" xfId="0" applyFont="1" applyBorder="1" applyAlignment="1">
      <alignment horizontal="center"/>
    </xf>
    <xf numFmtId="0" fontId="29" fillId="0" borderId="1" xfId="0" applyFont="1" applyFill="1" applyBorder="1"/>
    <xf numFmtId="0" fontId="29" fillId="0" borderId="0" xfId="0" applyFont="1" applyFill="1" applyBorder="1"/>
    <xf numFmtId="0" fontId="29" fillId="0" borderId="0" xfId="0" applyFont="1" applyFill="1" applyBorder="1" applyAlignment="1">
      <alignment vertical="top" wrapText="1"/>
    </xf>
    <xf numFmtId="4" fontId="30" fillId="0" borderId="0" xfId="0" applyNumberFormat="1" applyFont="1" applyBorder="1" applyAlignment="1">
      <alignment horizontal="right" vertical="center" wrapText="1"/>
    </xf>
    <xf numFmtId="0" fontId="9" fillId="4" borderId="0" xfId="0" applyFont="1" applyFill="1" applyBorder="1"/>
    <xf numFmtId="43" fontId="31" fillId="4" borderId="0" xfId="1" applyNumberFormat="1" applyFont="1" applyFill="1" applyBorder="1" applyAlignment="1">
      <alignment horizontal="right" vertical="top" wrapText="1"/>
    </xf>
    <xf numFmtId="0" fontId="27" fillId="0" borderId="0" xfId="0" applyFont="1" applyFill="1" applyBorder="1" applyAlignment="1">
      <alignment wrapText="1"/>
    </xf>
    <xf numFmtId="171" fontId="31" fillId="0" borderId="0" xfId="2" applyNumberFormat="1" applyFont="1" applyFill="1" applyBorder="1" applyAlignment="1">
      <alignment horizontal="right" vertical="top" wrapText="1"/>
    </xf>
    <xf numFmtId="0" fontId="29" fillId="0" borderId="0" xfId="0" applyFont="1" applyFill="1" applyAlignment="1">
      <alignment vertical="top" wrapText="1"/>
    </xf>
    <xf numFmtId="0" fontId="29" fillId="0" borderId="0" xfId="0" applyFont="1" applyFill="1" applyBorder="1" applyAlignment="1">
      <alignment vertical="center" wrapText="1"/>
    </xf>
    <xf numFmtId="0" fontId="27" fillId="0" borderId="0" xfId="0" applyFont="1" applyFill="1" applyAlignment="1">
      <alignment horizontal="right" vertical="top" wrapText="1"/>
    </xf>
    <xf numFmtId="0" fontId="29" fillId="0" borderId="0" xfId="0" applyFont="1" applyFill="1" applyAlignment="1">
      <alignment vertical="top"/>
    </xf>
    <xf numFmtId="0" fontId="9" fillId="4" borderId="0" xfId="0" applyFont="1" applyFill="1"/>
    <xf numFmtId="0" fontId="8" fillId="0" borderId="0" xfId="0" applyFont="1" applyBorder="1"/>
    <xf numFmtId="0" fontId="9" fillId="0" borderId="0" xfId="0" applyFont="1"/>
    <xf numFmtId="0" fontId="8" fillId="0" borderId="0" xfId="0" applyFont="1" applyAlignment="1">
      <alignment horizontal="left"/>
    </xf>
    <xf numFmtId="0" fontId="27" fillId="0" borderId="3" xfId="0" applyFont="1" applyFill="1" applyBorder="1" applyAlignment="1">
      <alignment vertical="top" wrapText="1"/>
    </xf>
    <xf numFmtId="0" fontId="27" fillId="0" borderId="2" xfId="0" applyFont="1" applyFill="1" applyBorder="1" applyAlignment="1">
      <alignment vertical="top" wrapText="1"/>
    </xf>
    <xf numFmtId="167" fontId="2" fillId="0" borderId="0" xfId="5" applyFont="1" applyAlignment="1">
      <alignment horizontal="left"/>
    </xf>
    <xf numFmtId="41" fontId="2" fillId="0" borderId="0" xfId="8" applyFont="1" applyAlignment="1"/>
    <xf numFmtId="167" fontId="2" fillId="0" borderId="0" xfId="5" applyFont="1" applyAlignment="1">
      <alignment horizontal="right"/>
    </xf>
    <xf numFmtId="10" fontId="2" fillId="0" borderId="0" xfId="2" applyNumberFormat="1" applyFont="1" applyFill="1"/>
    <xf numFmtId="17" fontId="26" fillId="0" borderId="2" xfId="0" quotePrefix="1" applyNumberFormat="1" applyFont="1" applyFill="1" applyBorder="1" applyAlignment="1"/>
    <xf numFmtId="165" fontId="32" fillId="2" borderId="4" xfId="1" applyNumberFormat="1" applyFont="1" applyFill="1" applyBorder="1" applyAlignment="1">
      <alignment horizontal="right" vertical="center" wrapText="1" readingOrder="1"/>
    </xf>
    <xf numFmtId="0" fontId="34" fillId="0" borderId="0" xfId="0" applyFont="1"/>
    <xf numFmtId="0" fontId="35" fillId="0" borderId="0" xfId="0" applyFont="1"/>
    <xf numFmtId="172" fontId="4" fillId="5" borderId="0" xfId="9" applyFont="1" applyFill="1" applyAlignment="1">
      <alignment horizontal="left" vertical="top" wrapText="1"/>
    </xf>
    <xf numFmtId="2" fontId="36" fillId="0" borderId="0" xfId="9" applyNumberFormat="1" applyFont="1" applyFill="1" applyAlignment="1">
      <alignment horizontal="left" vertical="top"/>
    </xf>
    <xf numFmtId="2" fontId="4" fillId="0" borderId="0" xfId="9" applyNumberFormat="1" applyFont="1" applyFill="1" applyAlignment="1">
      <alignment horizontal="left" vertical="top" wrapText="1"/>
    </xf>
    <xf numFmtId="165" fontId="4" fillId="0" borderId="0" xfId="10" applyNumberFormat="1" applyFont="1" applyFill="1" applyBorder="1" applyAlignment="1">
      <alignment horizontal="center" vertical="top" wrapText="1"/>
    </xf>
    <xf numFmtId="170" fontId="4" fillId="0" borderId="0" xfId="8" applyNumberFormat="1" applyFont="1" applyFill="1" applyBorder="1" applyAlignment="1">
      <alignment horizontal="left" vertical="top" wrapText="1"/>
    </xf>
    <xf numFmtId="2" fontId="4" fillId="0" borderId="0" xfId="9" applyNumberFormat="1" applyFont="1" applyFill="1" applyBorder="1" applyAlignment="1">
      <alignment horizontal="left" vertical="top" wrapText="1"/>
    </xf>
    <xf numFmtId="2" fontId="4" fillId="0" borderId="0" xfId="9" applyNumberFormat="1" applyFont="1" applyFill="1" applyAlignment="1">
      <alignment vertical="top" wrapText="1"/>
    </xf>
    <xf numFmtId="14" fontId="4" fillId="0" borderId="0" xfId="9" applyNumberFormat="1" applyFont="1" applyFill="1" applyAlignment="1">
      <alignment horizontal="left" vertical="top" wrapText="1"/>
    </xf>
    <xf numFmtId="172" fontId="4" fillId="0" borderId="0" xfId="9" applyFont="1" applyAlignment="1">
      <alignment horizontal="left" vertical="top" wrapText="1"/>
    </xf>
    <xf numFmtId="2" fontId="4" fillId="0" borderId="6" xfId="9" applyNumberFormat="1" applyFont="1" applyFill="1" applyBorder="1" applyAlignment="1">
      <alignment vertical="top" wrapText="1"/>
    </xf>
    <xf numFmtId="1" fontId="4" fillId="0" borderId="6" xfId="10" applyNumberFormat="1" applyFont="1" applyFill="1" applyBorder="1" applyAlignment="1">
      <alignment horizontal="center" vertical="top" wrapText="1"/>
    </xf>
    <xf numFmtId="170" fontId="4" fillId="0" borderId="6" xfId="8" applyNumberFormat="1" applyFont="1" applyFill="1" applyBorder="1" applyAlignment="1">
      <alignment horizontal="center" vertical="top" wrapText="1"/>
    </xf>
    <xf numFmtId="2" fontId="4" fillId="0" borderId="0" xfId="9" applyNumberFormat="1" applyFont="1" applyFill="1" applyAlignment="1">
      <alignment vertical="top"/>
    </xf>
    <xf numFmtId="0" fontId="37" fillId="0" borderId="0" xfId="0" applyFont="1" applyFill="1" applyAlignment="1">
      <alignment vertical="center"/>
    </xf>
    <xf numFmtId="165" fontId="37" fillId="0" borderId="0" xfId="0" applyNumberFormat="1" applyFont="1" applyFill="1" applyAlignment="1">
      <alignment horizontal="right" vertical="center"/>
    </xf>
    <xf numFmtId="0" fontId="37" fillId="0" borderId="0" xfId="0" applyFont="1" applyFill="1"/>
    <xf numFmtId="0" fontId="10" fillId="0" borderId="0" xfId="0" applyFont="1"/>
    <xf numFmtId="41" fontId="2" fillId="0" borderId="0" xfId="8" applyFont="1"/>
    <xf numFmtId="1" fontId="2" fillId="0" borderId="0" xfId="0" applyNumberFormat="1" applyFont="1" applyAlignment="1">
      <alignment horizontal="right"/>
    </xf>
    <xf numFmtId="42" fontId="2" fillId="0" borderId="0" xfId="11" applyFont="1"/>
    <xf numFmtId="42" fontId="1" fillId="0" borderId="0" xfId="11" applyFont="1"/>
    <xf numFmtId="165" fontId="17" fillId="0" borderId="0" xfId="1" applyNumberFormat="1" applyFont="1" applyFill="1" applyBorder="1" applyAlignment="1">
      <alignment horizontal="right" vertical="center" wrapText="1" indent="1" readingOrder="1"/>
    </xf>
    <xf numFmtId="2" fontId="4" fillId="0" borderId="9" xfId="9" applyNumberFormat="1" applyFont="1" applyFill="1" applyBorder="1" applyAlignment="1">
      <alignment vertical="top" wrapText="1"/>
    </xf>
    <xf numFmtId="1" fontId="4" fillId="0" borderId="9" xfId="10" applyNumberFormat="1" applyFont="1" applyFill="1" applyBorder="1" applyAlignment="1">
      <alignment horizontal="center" vertical="top" wrapText="1"/>
    </xf>
    <xf numFmtId="170" fontId="4" fillId="0" borderId="9" xfId="8" applyNumberFormat="1" applyFont="1" applyFill="1" applyBorder="1" applyAlignment="1">
      <alignment horizontal="center" vertical="top" wrapText="1"/>
    </xf>
    <xf numFmtId="2" fontId="36" fillId="0" borderId="6" xfId="9" applyNumberFormat="1" applyFont="1" applyFill="1" applyBorder="1" applyAlignment="1">
      <alignment vertical="top" wrapText="1"/>
    </xf>
    <xf numFmtId="2" fontId="36" fillId="0" borderId="6" xfId="9" applyNumberFormat="1" applyFont="1" applyFill="1" applyBorder="1" applyAlignment="1">
      <alignment horizontal="left" vertical="top" wrapText="1"/>
    </xf>
    <xf numFmtId="165" fontId="36" fillId="0" borderId="6" xfId="10" applyNumberFormat="1" applyFont="1" applyFill="1" applyBorder="1" applyAlignment="1">
      <alignment horizontal="center" vertical="top" wrapText="1"/>
    </xf>
    <xf numFmtId="170" fontId="36" fillId="0" borderId="6" xfId="8" applyNumberFormat="1" applyFont="1" applyFill="1" applyBorder="1" applyAlignment="1">
      <alignment horizontal="left" vertical="top" wrapText="1"/>
    </xf>
    <xf numFmtId="171" fontId="35" fillId="0" borderId="0" xfId="2" applyNumberFormat="1" applyFont="1"/>
    <xf numFmtId="171" fontId="34" fillId="0" borderId="6" xfId="2" applyNumberFormat="1" applyFont="1" applyBorder="1" applyAlignment="1">
      <alignment horizontal="center"/>
    </xf>
    <xf numFmtId="171" fontId="35" fillId="0" borderId="6" xfId="2" applyNumberFormat="1" applyFont="1" applyBorder="1"/>
    <xf numFmtId="0" fontId="2" fillId="0" borderId="6" xfId="0" applyFont="1" applyBorder="1"/>
    <xf numFmtId="0" fontId="17" fillId="0" borderId="0" xfId="0" applyFont="1" applyBorder="1"/>
    <xf numFmtId="164" fontId="1" fillId="3" borderId="18" xfId="0" applyNumberFormat="1" applyFont="1" applyFill="1" applyBorder="1" applyAlignment="1">
      <alignment horizontal="center" vertical="center"/>
    </xf>
    <xf numFmtId="1" fontId="2" fillId="0" borderId="17" xfId="0" applyNumberFormat="1" applyFont="1" applyBorder="1" applyAlignment="1">
      <alignment horizontal="right"/>
    </xf>
    <xf numFmtId="0" fontId="1" fillId="0" borderId="6" xfId="0" applyFont="1" applyBorder="1" applyAlignment="1">
      <alignment horizontal="center" vertical="center" wrapText="1"/>
    </xf>
    <xf numFmtId="0" fontId="36" fillId="0" borderId="6" xfId="0" applyFont="1" applyFill="1" applyBorder="1" applyAlignment="1">
      <alignment horizontal="center" vertical="top" wrapText="1"/>
    </xf>
    <xf numFmtId="172" fontId="36" fillId="0" borderId="6" xfId="1" applyNumberFormat="1" applyFont="1" applyFill="1" applyBorder="1" applyAlignment="1" applyProtection="1">
      <alignment horizontal="center" vertical="top" wrapText="1"/>
    </xf>
    <xf numFmtId="172" fontId="36" fillId="0" borderId="6" xfId="0" applyNumberFormat="1" applyFont="1" applyFill="1" applyBorder="1" applyAlignment="1">
      <alignment horizontal="center" vertical="top" wrapText="1"/>
    </xf>
    <xf numFmtId="170" fontId="36" fillId="0" borderId="6" xfId="8" applyNumberFormat="1" applyFont="1" applyFill="1" applyBorder="1" applyAlignment="1">
      <alignment horizontal="center" vertical="top" wrapText="1"/>
    </xf>
    <xf numFmtId="173" fontId="36" fillId="0" borderId="6" xfId="1" applyNumberFormat="1" applyFont="1" applyFill="1" applyBorder="1" applyAlignment="1">
      <alignment horizontal="center" vertical="top" wrapText="1"/>
    </xf>
    <xf numFmtId="2" fontId="4" fillId="0" borderId="6" xfId="0" applyNumberFormat="1" applyFont="1" applyFill="1" applyBorder="1" applyAlignment="1">
      <alignment vertical="top" wrapText="1"/>
    </xf>
    <xf numFmtId="2" fontId="4" fillId="0" borderId="6" xfId="0" applyNumberFormat="1" applyFont="1" applyFill="1" applyBorder="1" applyAlignment="1">
      <alignment horizontal="center" vertical="top" wrapText="1"/>
    </xf>
    <xf numFmtId="1" fontId="4" fillId="0" borderId="6" xfId="1" applyNumberFormat="1" applyFont="1" applyFill="1" applyBorder="1" applyAlignment="1">
      <alignment horizontal="center" vertical="top" wrapText="1"/>
    </xf>
    <xf numFmtId="2" fontId="4" fillId="0" borderId="6" xfId="0" applyNumberFormat="1" applyFont="1" applyFill="1" applyBorder="1" applyAlignment="1">
      <alignment horizontal="right" vertical="top" wrapText="1"/>
    </xf>
    <xf numFmtId="173" fontId="4" fillId="0" borderId="6" xfId="1" applyNumberFormat="1" applyFont="1" applyFill="1" applyBorder="1" applyAlignment="1">
      <alignment horizontal="center" vertical="top" wrapText="1"/>
    </xf>
    <xf numFmtId="9" fontId="4" fillId="0" borderId="6" xfId="2" applyFont="1" applyFill="1" applyBorder="1" applyAlignment="1">
      <alignment horizontal="center" vertical="top" wrapText="1"/>
    </xf>
    <xf numFmtId="2" fontId="4" fillId="0" borderId="16" xfId="0" applyNumberFormat="1" applyFont="1" applyFill="1" applyBorder="1" applyAlignment="1">
      <alignment vertical="top" wrapText="1"/>
    </xf>
    <xf numFmtId="1" fontId="4" fillId="0" borderId="8" xfId="1" applyNumberFormat="1" applyFont="1" applyFill="1" applyBorder="1" applyAlignment="1">
      <alignment horizontal="center" vertical="top" wrapText="1"/>
    </xf>
    <xf numFmtId="170" fontId="4" fillId="0" borderId="7" xfId="8" applyNumberFormat="1" applyFont="1" applyFill="1" applyBorder="1" applyAlignment="1">
      <alignment horizontal="center" vertical="top" wrapText="1"/>
    </xf>
    <xf numFmtId="9" fontId="4" fillId="0" borderId="7" xfId="2" applyFont="1" applyFill="1" applyBorder="1" applyAlignment="1">
      <alignment horizontal="center" vertical="top" wrapText="1"/>
    </xf>
    <xf numFmtId="9" fontId="4" fillId="0" borderId="9" xfId="2" applyFont="1" applyFill="1" applyBorder="1" applyAlignment="1">
      <alignment horizontal="center" vertical="top" wrapText="1"/>
    </xf>
    <xf numFmtId="1" fontId="4" fillId="0" borderId="7" xfId="1" applyNumberFormat="1" applyFont="1" applyFill="1" applyBorder="1" applyAlignment="1">
      <alignment horizontal="center" vertical="top" wrapText="1"/>
    </xf>
    <xf numFmtId="170" fontId="4" fillId="0" borderId="3" xfId="8" applyNumberFormat="1" applyFont="1" applyFill="1" applyBorder="1" applyAlignment="1">
      <alignment horizontal="center" vertical="top" wrapText="1"/>
    </xf>
    <xf numFmtId="170" fontId="4" fillId="0" borderId="0" xfId="8" applyNumberFormat="1" applyFont="1" applyFill="1" applyBorder="1" applyAlignment="1">
      <alignment horizontal="center" vertical="top" wrapText="1"/>
    </xf>
    <xf numFmtId="9" fontId="4" fillId="0" borderId="10" xfId="2" applyFont="1" applyFill="1" applyBorder="1" applyAlignment="1">
      <alignment horizontal="center" vertical="top" wrapText="1"/>
    </xf>
    <xf numFmtId="170" fontId="4" fillId="0" borderId="2" xfId="8" applyNumberFormat="1" applyFont="1" applyFill="1" applyBorder="1" applyAlignment="1">
      <alignment horizontal="center" vertical="top" wrapText="1"/>
    </xf>
    <xf numFmtId="170" fontId="4" fillId="0" borderId="6" xfId="8" applyNumberFormat="1" applyFont="1" applyFill="1" applyBorder="1" applyAlignment="1">
      <alignment horizontal="right" vertical="top" wrapText="1"/>
    </xf>
    <xf numFmtId="2" fontId="4" fillId="0" borderId="0" xfId="0" applyNumberFormat="1" applyFont="1" applyFill="1" applyBorder="1" applyAlignment="1">
      <alignment vertical="top" wrapText="1"/>
    </xf>
    <xf numFmtId="2" fontId="4" fillId="0" borderId="0" xfId="0" applyNumberFormat="1" applyFont="1" applyFill="1" applyBorder="1" applyAlignment="1">
      <alignment horizontal="center" vertical="top" wrapText="1"/>
    </xf>
    <xf numFmtId="2" fontId="4" fillId="0" borderId="0" xfId="0" applyNumberFormat="1" applyFont="1" applyFill="1" applyBorder="1" applyAlignment="1">
      <alignment horizontal="right" vertical="top" wrapText="1"/>
    </xf>
    <xf numFmtId="9" fontId="36" fillId="0" borderId="0" xfId="2" applyFont="1" applyFill="1" applyBorder="1" applyAlignment="1">
      <alignment horizontal="center" vertical="top" wrapText="1"/>
    </xf>
    <xf numFmtId="9" fontId="4" fillId="0" borderId="0" xfId="2" applyFont="1" applyFill="1" applyBorder="1" applyAlignment="1">
      <alignment horizontal="left" vertical="top" wrapText="1"/>
    </xf>
    <xf numFmtId="2" fontId="36" fillId="0" borderId="7" xfId="0" applyNumberFormat="1" applyFont="1" applyFill="1" applyBorder="1" applyAlignment="1">
      <alignment horizontal="center" vertical="top" wrapText="1"/>
    </xf>
    <xf numFmtId="9" fontId="4" fillId="0" borderId="6" xfId="2" applyFont="1" applyFill="1" applyBorder="1" applyAlignment="1">
      <alignment horizontal="right" vertical="top" wrapText="1"/>
    </xf>
    <xf numFmtId="1" fontId="4" fillId="0" borderId="0" xfId="1" applyNumberFormat="1" applyFont="1" applyFill="1" applyBorder="1" applyAlignment="1">
      <alignment horizontal="center" vertical="top" wrapText="1"/>
    </xf>
    <xf numFmtId="41" fontId="4" fillId="0" borderId="6" xfId="8" applyFont="1" applyFill="1" applyBorder="1" applyAlignment="1">
      <alignment horizontal="center" vertical="top" wrapText="1"/>
    </xf>
    <xf numFmtId="2" fontId="36" fillId="0" borderId="9" xfId="0" applyNumberFormat="1" applyFont="1" applyFill="1" applyBorder="1" applyAlignment="1">
      <alignment vertical="top" wrapText="1"/>
    </xf>
    <xf numFmtId="2" fontId="36" fillId="0" borderId="9" xfId="0" applyNumberFormat="1" applyFont="1" applyFill="1" applyBorder="1" applyAlignment="1">
      <alignment horizontal="center" vertical="top" wrapText="1"/>
    </xf>
    <xf numFmtId="1" fontId="36" fillId="0" borderId="9" xfId="1" applyNumberFormat="1" applyFont="1" applyFill="1" applyBorder="1" applyAlignment="1">
      <alignment horizontal="center" vertical="top" wrapText="1"/>
    </xf>
    <xf numFmtId="41" fontId="36" fillId="0" borderId="9" xfId="8" applyFont="1" applyFill="1" applyBorder="1" applyAlignment="1">
      <alignment horizontal="center" vertical="top" wrapText="1"/>
    </xf>
    <xf numFmtId="2" fontId="38" fillId="0" borderId="0" xfId="0" applyNumberFormat="1" applyFont="1" applyFill="1" applyBorder="1" applyAlignment="1">
      <alignment vertical="top" wrapText="1"/>
    </xf>
    <xf numFmtId="2" fontId="38" fillId="0" borderId="0" xfId="0" applyNumberFormat="1" applyFont="1" applyFill="1" applyBorder="1" applyAlignment="1">
      <alignment horizontal="center" vertical="top" wrapText="1"/>
    </xf>
    <xf numFmtId="1" fontId="38" fillId="0" borderId="0" xfId="1" applyNumberFormat="1" applyFont="1" applyFill="1" applyBorder="1" applyAlignment="1">
      <alignment horizontal="center" vertical="top" wrapText="1"/>
    </xf>
    <xf numFmtId="41" fontId="38" fillId="0" borderId="0" xfId="8" applyFont="1" applyFill="1" applyBorder="1" applyAlignment="1">
      <alignment horizontal="center" vertical="top" wrapText="1"/>
    </xf>
    <xf numFmtId="2" fontId="39" fillId="0" borderId="0" xfId="0" applyNumberFormat="1" applyFont="1" applyFill="1" applyBorder="1" applyAlignment="1">
      <alignment vertical="top" wrapText="1"/>
    </xf>
    <xf numFmtId="0" fontId="1" fillId="0" borderId="0" xfId="0" applyFont="1" applyAlignment="1">
      <alignment vertical="center"/>
    </xf>
    <xf numFmtId="0" fontId="2" fillId="0" borderId="0" xfId="0" applyFont="1" applyAlignment="1">
      <alignment vertical="center"/>
    </xf>
    <xf numFmtId="41" fontId="36" fillId="0" borderId="6" xfId="8" applyFont="1" applyFill="1" applyBorder="1" applyAlignment="1">
      <alignment horizontal="center" vertical="top" wrapText="1"/>
    </xf>
    <xf numFmtId="2" fontId="36" fillId="2" borderId="6" xfId="0" applyNumberFormat="1" applyFont="1" applyFill="1" applyBorder="1" applyAlignment="1">
      <alignment vertical="top"/>
    </xf>
    <xf numFmtId="2" fontId="4" fillId="2" borderId="6" xfId="0" applyNumberFormat="1" applyFont="1" applyFill="1" applyBorder="1" applyAlignment="1">
      <alignment horizontal="center" vertical="top" wrapText="1"/>
    </xf>
    <xf numFmtId="2" fontId="4" fillId="2" borderId="6" xfId="0" applyNumberFormat="1" applyFont="1" applyFill="1" applyBorder="1" applyAlignment="1">
      <alignment horizontal="right" vertical="top" wrapText="1"/>
    </xf>
    <xf numFmtId="41" fontId="36" fillId="2" borderId="6" xfId="8" applyNumberFormat="1" applyFont="1" applyFill="1" applyBorder="1" applyAlignment="1">
      <alignment horizontal="center" vertical="top" wrapText="1"/>
    </xf>
    <xf numFmtId="173" fontId="4" fillId="2" borderId="6" xfId="1" applyNumberFormat="1" applyFont="1" applyFill="1" applyBorder="1" applyAlignment="1">
      <alignment horizontal="center" vertical="top" wrapText="1"/>
    </xf>
    <xf numFmtId="0" fontId="2" fillId="2" borderId="6" xfId="0" applyFont="1" applyFill="1" applyBorder="1"/>
    <xf numFmtId="175" fontId="35" fillId="0" borderId="0" xfId="0" applyNumberFormat="1" applyFont="1"/>
    <xf numFmtId="0" fontId="7" fillId="0" borderId="0" xfId="0" applyFont="1"/>
    <xf numFmtId="10" fontId="2" fillId="0" borderId="0" xfId="2" applyNumberFormat="1" applyFont="1"/>
    <xf numFmtId="9" fontId="2" fillId="0" borderId="0" xfId="2" applyFont="1" applyFill="1"/>
    <xf numFmtId="166" fontId="1" fillId="0" borderId="0" xfId="1" applyNumberFormat="1" applyFont="1"/>
    <xf numFmtId="9" fontId="1" fillId="0" borderId="0" xfId="2" applyFont="1"/>
    <xf numFmtId="10" fontId="2" fillId="0" borderId="0" xfId="0" applyNumberFormat="1" applyFont="1"/>
    <xf numFmtId="0" fontId="9" fillId="0" borderId="0" xfId="0" applyFont="1" applyFill="1" applyAlignment="1">
      <alignment horizontal="center" vertical="center"/>
    </xf>
    <xf numFmtId="0" fontId="13" fillId="0" borderId="0" xfId="4" applyFill="1" applyBorder="1" applyAlignment="1">
      <alignment vertical="center"/>
    </xf>
    <xf numFmtId="14" fontId="2" fillId="0" borderId="6" xfId="1" applyNumberFormat="1" applyFont="1" applyFill="1" applyBorder="1" applyAlignment="1">
      <alignment horizontal="center" vertical="top" wrapText="1"/>
    </xf>
    <xf numFmtId="2" fontId="2" fillId="0" borderId="6" xfId="1" applyNumberFormat="1" applyFont="1" applyFill="1" applyBorder="1" applyAlignment="1">
      <alignment horizontal="center" vertical="top" wrapText="1"/>
    </xf>
    <xf numFmtId="0" fontId="2" fillId="0" borderId="6" xfId="0" applyFont="1" applyFill="1" applyBorder="1" applyAlignment="1">
      <alignment horizontal="left" vertical="top" wrapText="1"/>
    </xf>
    <xf numFmtId="170" fontId="2" fillId="0" borderId="6" xfId="8" applyNumberFormat="1" applyFont="1" applyFill="1" applyBorder="1" applyAlignment="1">
      <alignment horizontal="center" vertical="top" wrapText="1"/>
    </xf>
    <xf numFmtId="0" fontId="2" fillId="0" borderId="0" xfId="0" applyFont="1" applyFill="1" applyAlignment="1">
      <alignment wrapText="1"/>
    </xf>
    <xf numFmtId="14" fontId="2" fillId="0" borderId="6" xfId="1" quotePrefix="1" applyNumberFormat="1" applyFont="1" applyFill="1" applyBorder="1" applyAlignment="1">
      <alignment horizontal="center" vertical="top" wrapText="1"/>
    </xf>
    <xf numFmtId="0" fontId="1" fillId="0" borderId="0" xfId="0" applyFont="1" applyFill="1" applyBorder="1" applyAlignment="1">
      <alignment horizontal="center"/>
    </xf>
    <xf numFmtId="166" fontId="2" fillId="0" borderId="0" xfId="2" applyNumberFormat="1" applyFont="1" applyFill="1"/>
    <xf numFmtId="41" fontId="1" fillId="0" borderId="0" xfId="8" applyFont="1"/>
    <xf numFmtId="41" fontId="1" fillId="0" borderId="0" xfId="8" applyFont="1" applyFill="1"/>
    <xf numFmtId="41" fontId="2" fillId="0" borderId="0" xfId="8" applyFont="1" applyAlignment="1">
      <alignment horizontal="left" indent="2"/>
    </xf>
    <xf numFmtId="0" fontId="35" fillId="0" borderId="6" xfId="0" applyFont="1" applyBorder="1" applyAlignment="1">
      <alignment horizontal="left"/>
    </xf>
    <xf numFmtId="0" fontId="35" fillId="0" borderId="6" xfId="0" applyFont="1" applyBorder="1" applyAlignment="1">
      <alignment vertical="center" wrapText="1"/>
    </xf>
    <xf numFmtId="0" fontId="1" fillId="0" borderId="0" xfId="0" applyFont="1" applyAlignment="1">
      <alignment horizontal="left" vertical="center"/>
    </xf>
    <xf numFmtId="167" fontId="2" fillId="0" borderId="0" xfId="5" applyFont="1"/>
    <xf numFmtId="0" fontId="2" fillId="0" borderId="0" xfId="0" applyFont="1" applyAlignment="1">
      <alignment horizontal="left" vertical="center"/>
    </xf>
    <xf numFmtId="169" fontId="22" fillId="0" borderId="0" xfId="6" applyNumberFormat="1" applyFont="1" applyAlignment="1" applyProtection="1">
      <alignment horizontal="left" vertical="top" wrapText="1"/>
    </xf>
    <xf numFmtId="169" fontId="40" fillId="0" borderId="0" xfId="6" applyNumberFormat="1" applyFont="1" applyAlignment="1" applyProtection="1">
      <alignment horizontal="left" vertical="center"/>
    </xf>
    <xf numFmtId="169" fontId="23" fillId="0" borderId="0" xfId="6" applyNumberFormat="1" applyFont="1" applyAlignment="1" applyProtection="1">
      <alignment horizontal="center" vertical="center"/>
    </xf>
    <xf numFmtId="169" fontId="22" fillId="0" borderId="0" xfId="6" applyNumberFormat="1" applyFont="1" applyAlignment="1" applyProtection="1">
      <alignment horizontal="center" vertical="center"/>
    </xf>
    <xf numFmtId="169" fontId="22" fillId="0" borderId="0" xfId="6" applyNumberFormat="1" applyFont="1" applyAlignment="1" applyProtection="1">
      <alignment vertical="center"/>
    </xf>
    <xf numFmtId="169" fontId="23" fillId="0" borderId="0" xfId="6" applyNumberFormat="1" applyFont="1" applyAlignment="1" applyProtection="1">
      <alignment vertical="center"/>
    </xf>
    <xf numFmtId="169" fontId="22" fillId="0" borderId="11" xfId="6" applyNumberFormat="1" applyFont="1" applyBorder="1" applyAlignment="1" applyProtection="1">
      <alignment horizontal="left" vertical="center"/>
    </xf>
    <xf numFmtId="169" fontId="23" fillId="0" borderId="1" xfId="6" applyNumberFormat="1" applyFont="1" applyBorder="1" applyAlignment="1" applyProtection="1">
      <alignment horizontal="center" vertical="center"/>
    </xf>
    <xf numFmtId="169" fontId="22" fillId="0" borderId="1" xfId="6" applyNumberFormat="1" applyFont="1" applyBorder="1" applyAlignment="1" applyProtection="1">
      <alignment horizontal="center" vertical="center"/>
    </xf>
    <xf numFmtId="169" fontId="22" fillId="0" borderId="0" xfId="6" applyNumberFormat="1" applyFont="1" applyAlignment="1" applyProtection="1">
      <alignment horizontal="left" vertical="center"/>
    </xf>
    <xf numFmtId="169" fontId="23" fillId="0" borderId="0" xfId="6" applyNumberFormat="1" applyFont="1" applyAlignment="1" applyProtection="1">
      <alignment horizontal="left" vertical="center"/>
    </xf>
    <xf numFmtId="9" fontId="2" fillId="0" borderId="0" xfId="2" applyFont="1" applyBorder="1"/>
    <xf numFmtId="9" fontId="2" fillId="0" borderId="0" xfId="0" applyNumberFormat="1" applyFont="1" applyBorder="1"/>
    <xf numFmtId="2" fontId="4" fillId="0" borderId="6" xfId="9" applyNumberFormat="1" applyFont="1" applyFill="1" applyBorder="1" applyAlignment="1">
      <alignment horizontal="left" vertical="top" wrapText="1"/>
    </xf>
    <xf numFmtId="2" fontId="4" fillId="0" borderId="9" xfId="9" applyNumberFormat="1" applyFont="1" applyFill="1" applyBorder="1" applyAlignment="1">
      <alignment horizontal="left" vertical="top" wrapText="1"/>
    </xf>
    <xf numFmtId="166" fontId="2" fillId="0" borderId="0" xfId="1" applyNumberFormat="1" applyFont="1" applyAlignment="1">
      <alignment wrapText="1"/>
    </xf>
    <xf numFmtId="0" fontId="10" fillId="3" borderId="0" xfId="0" applyFont="1" applyFill="1" applyBorder="1" applyAlignment="1">
      <alignment vertical="center"/>
    </xf>
    <xf numFmtId="0" fontId="2" fillId="3" borderId="0" xfId="0" applyFont="1" applyFill="1" applyBorder="1" applyAlignment="1">
      <alignment horizontal="left" vertical="center" indent="2"/>
    </xf>
    <xf numFmtId="0" fontId="34" fillId="0" borderId="0" xfId="0" applyFont="1" applyAlignment="1">
      <alignment horizontal="left" vertical="top"/>
    </xf>
    <xf numFmtId="0" fontId="35" fillId="0" borderId="0" xfId="0" applyFont="1" applyAlignment="1">
      <alignment horizontal="left" vertical="top"/>
    </xf>
    <xf numFmtId="0" fontId="56" fillId="37" borderId="0" xfId="0" applyFont="1" applyFill="1" applyAlignment="1">
      <alignment horizontal="left" vertical="top"/>
    </xf>
    <xf numFmtId="0" fontId="35" fillId="37" borderId="0" xfId="0" applyFont="1" applyFill="1" applyAlignment="1">
      <alignment horizontal="left" vertical="top"/>
    </xf>
    <xf numFmtId="0" fontId="35" fillId="0" borderId="29" xfId="0" applyFont="1" applyBorder="1" applyAlignment="1">
      <alignment horizontal="left" vertical="top"/>
    </xf>
    <xf numFmtId="0" fontId="35" fillId="0" borderId="29" xfId="0" applyFont="1" applyBorder="1" applyAlignment="1">
      <alignment horizontal="left" vertical="top" wrapText="1"/>
    </xf>
    <xf numFmtId="0" fontId="2" fillId="0" borderId="17" xfId="0" applyFont="1" applyBorder="1" applyAlignment="1">
      <alignment horizontal="right"/>
    </xf>
    <xf numFmtId="166" fontId="2" fillId="0" borderId="0" xfId="1" applyNumberFormat="1" applyFont="1" applyAlignment="1">
      <alignment horizontal="right"/>
    </xf>
    <xf numFmtId="166" fontId="2" fillId="0" borderId="12" xfId="1" applyNumberFormat="1" applyFont="1" applyBorder="1" applyAlignment="1">
      <alignment horizontal="right"/>
    </xf>
    <xf numFmtId="166" fontId="2" fillId="0" borderId="0" xfId="1" applyNumberFormat="1" applyFont="1" applyBorder="1" applyAlignment="1">
      <alignment horizontal="right"/>
    </xf>
    <xf numFmtId="166" fontId="2" fillId="0" borderId="15" xfId="1" applyNumberFormat="1" applyFont="1" applyBorder="1" applyAlignment="1">
      <alignment horizontal="right"/>
    </xf>
    <xf numFmtId="166" fontId="2" fillId="0" borderId="17" xfId="1" applyNumberFormat="1" applyFont="1" applyBorder="1" applyAlignment="1">
      <alignment horizontal="right"/>
    </xf>
    <xf numFmtId="166" fontId="2" fillId="0" borderId="0" xfId="1" applyNumberFormat="1" applyFont="1" applyFill="1" applyAlignment="1">
      <alignment horizontal="right"/>
    </xf>
    <xf numFmtId="42" fontId="2" fillId="0" borderId="0" xfId="11" applyFont="1" applyAlignment="1">
      <alignment horizontal="right"/>
    </xf>
    <xf numFmtId="42" fontId="2" fillId="0" borderId="12" xfId="11" applyFont="1" applyBorder="1" applyAlignment="1">
      <alignment horizontal="right"/>
    </xf>
    <xf numFmtId="42" fontId="2" fillId="0" borderId="0" xfId="11" applyFont="1" applyBorder="1" applyAlignment="1">
      <alignment horizontal="right"/>
    </xf>
    <xf numFmtId="42" fontId="2" fillId="0" borderId="15" xfId="11" applyFont="1" applyBorder="1" applyAlignment="1">
      <alignment horizontal="right"/>
    </xf>
    <xf numFmtId="42" fontId="2" fillId="0" borderId="17" xfId="11" applyFont="1" applyBorder="1" applyAlignment="1">
      <alignment horizontal="right"/>
    </xf>
    <xf numFmtId="41" fontId="2" fillId="0" borderId="0" xfId="8" applyFont="1" applyAlignment="1">
      <alignment horizontal="right"/>
    </xf>
    <xf numFmtId="41" fontId="2" fillId="0" borderId="12" xfId="8" applyFont="1" applyBorder="1" applyAlignment="1">
      <alignment horizontal="right"/>
    </xf>
    <xf numFmtId="41" fontId="2" fillId="0" borderId="0" xfId="8" applyFont="1" applyBorder="1" applyAlignment="1">
      <alignment horizontal="right"/>
    </xf>
    <xf numFmtId="41" fontId="2" fillId="0" borderId="15" xfId="8" applyFont="1" applyBorder="1" applyAlignment="1">
      <alignment horizontal="right"/>
    </xf>
    <xf numFmtId="41" fontId="2" fillId="0" borderId="17" xfId="8" applyFont="1" applyBorder="1" applyAlignment="1">
      <alignment horizontal="right"/>
    </xf>
    <xf numFmtId="42" fontId="1" fillId="0" borderId="0" xfId="11" applyFont="1" applyAlignment="1">
      <alignment horizontal="right"/>
    </xf>
    <xf numFmtId="42" fontId="1" fillId="0" borderId="12" xfId="11" applyFont="1" applyBorder="1" applyAlignment="1">
      <alignment horizontal="right"/>
    </xf>
    <xf numFmtId="42" fontId="1" fillId="0" borderId="0" xfId="11" applyFont="1" applyBorder="1" applyAlignment="1">
      <alignment horizontal="right"/>
    </xf>
    <xf numFmtId="42" fontId="1" fillId="0" borderId="15" xfId="11" applyFont="1" applyBorder="1" applyAlignment="1">
      <alignment horizontal="right"/>
    </xf>
    <xf numFmtId="42" fontId="1" fillId="0" borderId="17" xfId="11" applyFont="1" applyBorder="1" applyAlignment="1">
      <alignment horizontal="right"/>
    </xf>
    <xf numFmtId="0" fontId="1" fillId="0" borderId="0" xfId="0" applyFont="1" applyFill="1" applyBorder="1" applyAlignment="1">
      <alignment horizontal="center" vertical="center"/>
    </xf>
    <xf numFmtId="14" fontId="35" fillId="0" borderId="29" xfId="0" applyNumberFormat="1" applyFont="1" applyBorder="1" applyAlignment="1">
      <alignment horizontal="left" vertical="top"/>
    </xf>
    <xf numFmtId="0" fontId="35" fillId="0" borderId="0" xfId="0" applyFont="1" applyBorder="1" applyAlignment="1">
      <alignment horizontal="left" vertical="top"/>
    </xf>
    <xf numFmtId="0" fontId="35" fillId="0" borderId="0" xfId="0" applyFont="1" applyBorder="1" applyAlignment="1">
      <alignment horizontal="left" vertical="top" wrapText="1"/>
    </xf>
    <xf numFmtId="0" fontId="35" fillId="0" borderId="0" xfId="0" applyFont="1" applyAlignment="1">
      <alignment horizontal="left" vertical="top" wrapText="1"/>
    </xf>
    <xf numFmtId="0" fontId="2" fillId="3" borderId="0" xfId="0" applyFont="1" applyFill="1" applyAlignment="1">
      <alignment horizontal="left"/>
    </xf>
    <xf numFmtId="0" fontId="7" fillId="3" borderId="0" xfId="0" applyFont="1" applyFill="1" applyBorder="1" applyAlignment="1">
      <alignment vertical="center"/>
    </xf>
    <xf numFmtId="42" fontId="2" fillId="0" borderId="0" xfId="11" applyFont="1" applyAlignment="1">
      <alignment horizontal="center"/>
    </xf>
    <xf numFmtId="41" fontId="2" fillId="0" borderId="0" xfId="8" applyFont="1" applyAlignment="1">
      <alignment horizontal="center"/>
    </xf>
    <xf numFmtId="42" fontId="1" fillId="0" borderId="0" xfId="11" applyFont="1" applyAlignment="1">
      <alignment horizontal="center"/>
    </xf>
    <xf numFmtId="10" fontId="2" fillId="0" borderId="0" xfId="2" applyNumberFormat="1" applyFont="1" applyAlignment="1">
      <alignment horizontal="center"/>
    </xf>
    <xf numFmtId="10" fontId="2" fillId="0" borderId="0" xfId="2" applyNumberFormat="1" applyFont="1" applyAlignment="1">
      <alignment horizontal="right"/>
    </xf>
    <xf numFmtId="10" fontId="2" fillId="0" borderId="12" xfId="2" applyNumberFormat="1" applyFont="1" applyBorder="1" applyAlignment="1">
      <alignment horizontal="right"/>
    </xf>
    <xf numFmtId="10" fontId="2" fillId="0" borderId="0" xfId="2" applyNumberFormat="1" applyFont="1" applyBorder="1" applyAlignment="1">
      <alignment horizontal="right"/>
    </xf>
    <xf numFmtId="10" fontId="2" fillId="0" borderId="15" xfId="2" applyNumberFormat="1" applyFont="1" applyBorder="1" applyAlignment="1">
      <alignment horizontal="right"/>
    </xf>
    <xf numFmtId="10" fontId="2" fillId="0" borderId="17" xfId="2" applyNumberFormat="1" applyFont="1" applyBorder="1" applyAlignment="1">
      <alignment horizontal="right"/>
    </xf>
    <xf numFmtId="43" fontId="2" fillId="0" borderId="0" xfId="1" applyFont="1" applyAlignment="1">
      <alignment horizontal="right"/>
    </xf>
    <xf numFmtId="43" fontId="2" fillId="0" borderId="12" xfId="1" applyFont="1" applyBorder="1" applyAlignment="1">
      <alignment horizontal="right"/>
    </xf>
    <xf numFmtId="43" fontId="2" fillId="0" borderId="0" xfId="1" applyFont="1" applyBorder="1" applyAlignment="1">
      <alignment horizontal="right"/>
    </xf>
    <xf numFmtId="43" fontId="2" fillId="0" borderId="15" xfId="1" applyFont="1" applyBorder="1" applyAlignment="1">
      <alignment horizontal="right"/>
    </xf>
    <xf numFmtId="43" fontId="2" fillId="0" borderId="17" xfId="1" applyFont="1" applyBorder="1" applyAlignment="1">
      <alignment horizontal="right"/>
    </xf>
    <xf numFmtId="43" fontId="2" fillId="0" borderId="0" xfId="1" applyFont="1"/>
    <xf numFmtId="43" fontId="2" fillId="0" borderId="0" xfId="1" applyFont="1" applyAlignment="1">
      <alignment horizontal="center"/>
    </xf>
    <xf numFmtId="43" fontId="2" fillId="0" borderId="0" xfId="0" applyNumberFormat="1" applyFont="1" applyAlignment="1">
      <alignment horizontal="center"/>
    </xf>
    <xf numFmtId="43" fontId="2" fillId="0" borderId="0" xfId="0" applyNumberFormat="1" applyFont="1"/>
    <xf numFmtId="43" fontId="2" fillId="0" borderId="0" xfId="1" applyNumberFormat="1" applyFont="1" applyAlignment="1">
      <alignment horizontal="right"/>
    </xf>
    <xf numFmtId="43" fontId="2" fillId="0" borderId="12" xfId="1" applyNumberFormat="1" applyFont="1" applyBorder="1" applyAlignment="1">
      <alignment horizontal="right"/>
    </xf>
    <xf numFmtId="43" fontId="2" fillId="0" borderId="0" xfId="1" applyNumberFormat="1" applyFont="1" applyBorder="1" applyAlignment="1">
      <alignment horizontal="right"/>
    </xf>
    <xf numFmtId="43" fontId="2" fillId="0" borderId="15" xfId="1" applyNumberFormat="1" applyFont="1" applyBorder="1" applyAlignment="1">
      <alignment horizontal="right"/>
    </xf>
    <xf numFmtId="43" fontId="2" fillId="0" borderId="17" xfId="1" applyNumberFormat="1" applyFont="1" applyBorder="1" applyAlignment="1">
      <alignment horizontal="right"/>
    </xf>
    <xf numFmtId="0" fontId="9" fillId="0" borderId="0" xfId="1" applyNumberFormat="1" applyFont="1" applyAlignment="1">
      <alignment horizontal="center"/>
    </xf>
    <xf numFmtId="3" fontId="1" fillId="0" borderId="0" xfId="1" applyNumberFormat="1" applyFont="1" applyAlignment="1">
      <alignment horizontal="center"/>
    </xf>
    <xf numFmtId="166" fontId="9" fillId="0" borderId="2" xfId="1" applyNumberFormat="1" applyFont="1" applyBorder="1"/>
    <xf numFmtId="3" fontId="59" fillId="0" borderId="2" xfId="1" applyNumberFormat="1" applyFont="1" applyBorder="1"/>
    <xf numFmtId="3" fontId="8" fillId="0" borderId="2" xfId="1" applyNumberFormat="1" applyFont="1" applyBorder="1"/>
    <xf numFmtId="166" fontId="60" fillId="0" borderId="0" xfId="1" applyNumberFormat="1" applyFont="1" applyAlignment="1">
      <alignment horizontal="left" vertical="top"/>
    </xf>
    <xf numFmtId="166" fontId="8" fillId="0" borderId="0" xfId="1" applyNumberFormat="1" applyFont="1"/>
    <xf numFmtId="43" fontId="8" fillId="0" borderId="0" xfId="1" applyFont="1"/>
    <xf numFmtId="43" fontId="59" fillId="0" borderId="0" xfId="8" applyNumberFormat="1" applyFont="1" applyFill="1" applyBorder="1" applyAlignment="1">
      <alignment horizontal="right" vertical="center"/>
    </xf>
    <xf numFmtId="43" fontId="2" fillId="0" borderId="0" xfId="8" applyNumberFormat="1" applyFont="1" applyFill="1" applyBorder="1" applyAlignment="1">
      <alignment horizontal="right" vertical="center"/>
    </xf>
    <xf numFmtId="171" fontId="59" fillId="0" borderId="0" xfId="2" applyNumberFormat="1" applyFont="1" applyFill="1" applyAlignment="1">
      <alignment vertical="center"/>
    </xf>
    <xf numFmtId="171" fontId="8" fillId="2" borderId="0" xfId="2" applyNumberFormat="1" applyFont="1" applyFill="1" applyAlignment="1">
      <alignment vertical="center"/>
    </xf>
    <xf numFmtId="171" fontId="8" fillId="0" borderId="0" xfId="2" applyNumberFormat="1" applyFont="1"/>
    <xf numFmtId="171" fontId="59" fillId="0" borderId="0" xfId="2" applyNumberFormat="1" applyFont="1" applyFill="1" applyAlignment="1" applyProtection="1">
      <alignment vertical="center"/>
    </xf>
    <xf numFmtId="171" fontId="2" fillId="2" borderId="0" xfId="2" applyNumberFormat="1" applyFont="1" applyFill="1" applyAlignment="1" applyProtection="1">
      <alignment vertical="center"/>
    </xf>
    <xf numFmtId="43" fontId="59" fillId="0" borderId="0" xfId="8" applyNumberFormat="1" applyFont="1" applyFill="1" applyAlignment="1">
      <alignment vertical="center"/>
    </xf>
    <xf numFmtId="43" fontId="8" fillId="0" borderId="0" xfId="8" applyNumberFormat="1" applyFont="1" applyAlignment="1">
      <alignment vertical="center"/>
    </xf>
    <xf numFmtId="3" fontId="59" fillId="0" borderId="0" xfId="1" applyNumberFormat="1" applyFont="1"/>
    <xf numFmtId="3" fontId="8" fillId="0" borderId="0" xfId="1" applyNumberFormat="1" applyFont="1"/>
    <xf numFmtId="166" fontId="9" fillId="0" borderId="0" xfId="1" applyNumberFormat="1" applyFont="1"/>
    <xf numFmtId="3" fontId="2" fillId="0" borderId="0" xfId="1" applyNumberFormat="1" applyFont="1"/>
    <xf numFmtId="166" fontId="8" fillId="0" borderId="0" xfId="1" applyNumberFormat="1" applyFont="1" applyAlignment="1">
      <alignment horizontal="left" indent="4"/>
    </xf>
    <xf numFmtId="3" fontId="59" fillId="0" borderId="0" xfId="1" applyNumberFormat="1" applyFont="1" applyFill="1"/>
    <xf numFmtId="3" fontId="8" fillId="0" borderId="0" xfId="1" applyNumberFormat="1" applyFont="1" applyFill="1"/>
    <xf numFmtId="166" fontId="2" fillId="0" borderId="0" xfId="1" applyNumberFormat="1" applyFont="1" applyAlignment="1">
      <alignment horizontal="left" indent="4"/>
    </xf>
    <xf numFmtId="166" fontId="8" fillId="0" borderId="0" xfId="1" applyNumberFormat="1" applyFont="1" applyAlignment="1">
      <alignment horizontal="left" indent="2"/>
    </xf>
    <xf numFmtId="9" fontId="59" fillId="0" borderId="0" xfId="2" applyFont="1" applyFill="1"/>
    <xf numFmtId="9" fontId="8" fillId="0" borderId="0" xfId="2" applyFont="1" applyFill="1"/>
    <xf numFmtId="10" fontId="59" fillId="0" borderId="0" xfId="2" applyNumberFormat="1" applyFont="1" applyFill="1"/>
    <xf numFmtId="10" fontId="8" fillId="0" borderId="0" xfId="2" applyNumberFormat="1" applyFont="1" applyFill="1"/>
    <xf numFmtId="3" fontId="58" fillId="0" borderId="0" xfId="1" applyNumberFormat="1" applyFont="1"/>
    <xf numFmtId="3" fontId="1" fillId="0" borderId="0" xfId="1" applyNumberFormat="1" applyFont="1"/>
    <xf numFmtId="10" fontId="8" fillId="0" borderId="0" xfId="2" applyNumberFormat="1" applyFont="1"/>
    <xf numFmtId="0" fontId="9" fillId="0" borderId="0" xfId="1" applyNumberFormat="1" applyFont="1" applyAlignment="1">
      <alignment horizontal="left" vertical="top" indent="1"/>
    </xf>
    <xf numFmtId="166" fontId="60" fillId="0" borderId="0" xfId="1" applyNumberFormat="1" applyFont="1" applyAlignment="1">
      <alignment horizontal="left" vertical="top" indent="1"/>
    </xf>
    <xf numFmtId="166" fontId="8" fillId="0" borderId="0" xfId="1" applyNumberFormat="1" applyFont="1" applyAlignment="1">
      <alignment horizontal="left" vertical="top" indent="1"/>
    </xf>
    <xf numFmtId="166" fontId="2" fillId="0" borderId="0" xfId="1" applyNumberFormat="1" applyFont="1" applyAlignment="1">
      <alignment horizontal="left" vertical="top" indent="1"/>
    </xf>
    <xf numFmtId="0" fontId="2" fillId="0" borderId="0" xfId="1" applyNumberFormat="1" applyFont="1" applyAlignment="1">
      <alignment horizontal="left" vertical="top" wrapText="1" indent="1"/>
    </xf>
    <xf numFmtId="166" fontId="9" fillId="0" borderId="0" xfId="1" applyNumberFormat="1" applyFont="1" applyAlignment="1">
      <alignment horizontal="left" vertical="top" indent="1"/>
    </xf>
    <xf numFmtId="10" fontId="8" fillId="0" borderId="0" xfId="2" applyNumberFormat="1" applyFont="1" applyAlignment="1">
      <alignment horizontal="left" vertical="top" indent="1"/>
    </xf>
    <xf numFmtId="3" fontId="1" fillId="0" borderId="0" xfId="1" applyNumberFormat="1" applyFont="1" applyFill="1" applyAlignment="1">
      <alignment horizontal="center"/>
    </xf>
    <xf numFmtId="3" fontId="8" fillId="0" borderId="2" xfId="1" applyNumberFormat="1" applyFont="1" applyFill="1" applyBorder="1"/>
    <xf numFmtId="3" fontId="2" fillId="0" borderId="0" xfId="1" applyNumberFormat="1" applyFont="1" applyFill="1"/>
    <xf numFmtId="3" fontId="1" fillId="0" borderId="0" xfId="1" applyNumberFormat="1" applyFont="1" applyFill="1"/>
    <xf numFmtId="0" fontId="63" fillId="0" borderId="0" xfId="0" applyFont="1" applyBorder="1" applyAlignment="1">
      <alignment horizontal="center" vertical="center" wrapText="1"/>
    </xf>
    <xf numFmtId="0" fontId="61" fillId="0" borderId="0" xfId="0" applyFont="1" applyBorder="1" applyAlignment="1">
      <alignment vertical="center" wrapText="1"/>
    </xf>
    <xf numFmtId="3" fontId="62" fillId="0" borderId="0" xfId="0" applyNumberFormat="1" applyFont="1" applyBorder="1" applyAlignment="1">
      <alignment horizontal="center" vertical="center" wrapText="1"/>
    </xf>
    <xf numFmtId="0" fontId="62" fillId="0" borderId="0" xfId="0" applyFont="1" applyBorder="1" applyAlignment="1">
      <alignment horizontal="center" vertical="center" wrapText="1"/>
    </xf>
    <xf numFmtId="0" fontId="63" fillId="0" borderId="0" xfId="0" applyFont="1" applyBorder="1" applyAlignment="1">
      <alignment vertical="center" wrapText="1"/>
    </xf>
    <xf numFmtId="3" fontId="64" fillId="0" borderId="0" xfId="0" applyNumberFormat="1" applyFont="1" applyBorder="1" applyAlignment="1">
      <alignment horizontal="center" vertical="center" wrapText="1"/>
    </xf>
    <xf numFmtId="6" fontId="61" fillId="0" borderId="0" xfId="0" applyNumberFormat="1" applyFont="1" applyBorder="1" applyAlignment="1">
      <alignment horizontal="center" vertical="center" wrapText="1"/>
    </xf>
    <xf numFmtId="9" fontId="59" fillId="0" borderId="0" xfId="2" applyFont="1"/>
    <xf numFmtId="166" fontId="65" fillId="0" borderId="0" xfId="1" applyNumberFormat="1" applyFont="1"/>
    <xf numFmtId="170" fontId="4" fillId="0" borderId="11" xfId="8" applyNumberFormat="1" applyFont="1" applyFill="1" applyBorder="1" applyAlignment="1">
      <alignment horizontal="right" vertical="top" wrapText="1"/>
    </xf>
    <xf numFmtId="0" fontId="35" fillId="0" borderId="7" xfId="0" applyFont="1" applyBorder="1" applyAlignment="1">
      <alignment vertical="center" wrapText="1"/>
    </xf>
    <xf numFmtId="0" fontId="35" fillId="0" borderId="30" xfId="0" applyFont="1" applyBorder="1" applyAlignment="1">
      <alignment horizontal="left"/>
    </xf>
    <xf numFmtId="41" fontId="4" fillId="0" borderId="6" xfId="8" applyFont="1" applyFill="1" applyBorder="1" applyAlignment="1">
      <alignment horizontal="right" vertical="top" wrapText="1"/>
    </xf>
    <xf numFmtId="41" fontId="4" fillId="0" borderId="19" xfId="8" applyFont="1" applyFill="1" applyBorder="1" applyAlignment="1">
      <alignment horizontal="right" vertical="top" wrapText="1"/>
    </xf>
    <xf numFmtId="41" fontId="4" fillId="0" borderId="8" xfId="8" applyFont="1" applyFill="1" applyBorder="1" applyAlignment="1">
      <alignment horizontal="right" vertical="center" wrapText="1"/>
    </xf>
    <xf numFmtId="41" fontId="4" fillId="0" borderId="19" xfId="8" applyFont="1" applyFill="1" applyBorder="1" applyAlignment="1">
      <alignment horizontal="right" vertical="center" wrapText="1"/>
    </xf>
    <xf numFmtId="41" fontId="4" fillId="0" borderId="16" xfId="8" applyFont="1" applyFill="1" applyBorder="1" applyAlignment="1">
      <alignment horizontal="right" vertical="top" wrapText="1"/>
    </xf>
    <xf numFmtId="9" fontId="35" fillId="0" borderId="0" xfId="0" applyNumberFormat="1" applyFont="1"/>
    <xf numFmtId="41" fontId="35" fillId="0" borderId="0" xfId="0" applyNumberFormat="1" applyFont="1"/>
    <xf numFmtId="173" fontId="4" fillId="0" borderId="6" xfId="10" applyNumberFormat="1" applyFont="1" applyFill="1" applyBorder="1" applyAlignment="1">
      <alignment horizontal="right" vertical="top" wrapText="1"/>
    </xf>
    <xf numFmtId="0" fontId="35" fillId="0" borderId="0" xfId="0" applyFont="1" applyAlignment="1">
      <alignment horizontal="left" vertical="top" wrapText="1"/>
    </xf>
    <xf numFmtId="0" fontId="34" fillId="0" borderId="0" xfId="0" applyFont="1" applyAlignment="1">
      <alignment horizontal="left" vertical="top" wrapText="1"/>
    </xf>
    <xf numFmtId="0" fontId="56" fillId="37" borderId="0" xfId="0" applyFont="1" applyFill="1" applyAlignment="1">
      <alignment horizontal="left" vertical="top" wrapText="1"/>
    </xf>
    <xf numFmtId="0" fontId="35" fillId="0" borderId="29" xfId="0" quotePrefix="1" applyFont="1" applyBorder="1" applyAlignment="1">
      <alignment horizontal="left" vertical="top" wrapText="1"/>
    </xf>
    <xf numFmtId="43" fontId="2" fillId="0" borderId="0" xfId="0" applyNumberFormat="1" applyFont="1" applyAlignment="1">
      <alignment horizontal="left"/>
    </xf>
    <xf numFmtId="0" fontId="2" fillId="0" borderId="0" xfId="0" applyFont="1" applyAlignment="1">
      <alignment horizontal="left" vertical="top"/>
    </xf>
    <xf numFmtId="0" fontId="2" fillId="0" borderId="0" xfId="0" applyFont="1" applyAlignment="1">
      <alignment horizontal="center" vertical="top" wrapText="1"/>
    </xf>
    <xf numFmtId="0" fontId="2" fillId="0" borderId="0" xfId="0" applyFont="1" applyAlignment="1">
      <alignment horizontal="left" vertical="top" wrapText="1"/>
    </xf>
    <xf numFmtId="170" fontId="2" fillId="0" borderId="0" xfId="8" applyNumberFormat="1" applyFont="1" applyAlignment="1">
      <alignment horizontal="right" vertical="top" wrapText="1"/>
    </xf>
    <xf numFmtId="0" fontId="2" fillId="0" borderId="0" xfId="0" applyFont="1" applyAlignment="1">
      <alignment horizontal="right" vertical="top" wrapText="1"/>
    </xf>
    <xf numFmtId="41" fontId="2" fillId="0" borderId="0" xfId="8" applyNumberFormat="1" applyFont="1" applyAlignment="1">
      <alignment horizontal="right" vertical="top" wrapText="1"/>
    </xf>
    <xf numFmtId="0" fontId="1" fillId="0" borderId="0" xfId="0" applyFont="1" applyAlignment="1">
      <alignment horizontal="left"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170" fontId="1" fillId="0" borderId="2" xfId="8" applyNumberFormat="1" applyFont="1" applyBorder="1" applyAlignment="1">
      <alignment horizontal="center" vertical="center" wrapText="1"/>
    </xf>
    <xf numFmtId="41" fontId="1" fillId="0" borderId="0" xfId="8" applyNumberFormat="1" applyFont="1" applyBorder="1" applyAlignment="1">
      <alignment horizontal="center" vertical="center" wrapText="1"/>
    </xf>
    <xf numFmtId="41" fontId="1" fillId="0" borderId="2" xfId="8" applyNumberFormat="1" applyFont="1" applyBorder="1" applyAlignment="1">
      <alignment horizontal="center" vertical="center" wrapText="1"/>
    </xf>
    <xf numFmtId="0" fontId="2" fillId="0" borderId="0" xfId="0" applyFont="1" applyAlignment="1">
      <alignment horizontal="right" vertical="center" wrapText="1"/>
    </xf>
    <xf numFmtId="0" fontId="2" fillId="0" borderId="0" xfId="0" applyFont="1" applyAlignment="1">
      <alignment vertical="center" wrapText="1"/>
    </xf>
    <xf numFmtId="41" fontId="2" fillId="0" borderId="0" xfId="0" applyNumberFormat="1" applyFont="1" applyAlignment="1">
      <alignment horizontal="center" vertical="center" wrapText="1"/>
    </xf>
    <xf numFmtId="41" fontId="2" fillId="0" borderId="0" xfId="0" applyNumberFormat="1" applyFont="1" applyAlignment="1">
      <alignment horizontal="left" vertical="top" wrapText="1"/>
    </xf>
    <xf numFmtId="41" fontId="2" fillId="0" borderId="0" xfId="8" applyNumberFormat="1" applyFont="1" applyAlignment="1">
      <alignment horizontal="right" wrapText="1"/>
    </xf>
    <xf numFmtId="41" fontId="2" fillId="0" borderId="0" xfId="8" applyNumberFormat="1" applyFont="1" applyAlignment="1">
      <alignment horizontal="right" vertical="center" wrapText="1"/>
    </xf>
    <xf numFmtId="41" fontId="2" fillId="0" borderId="0" xfId="2" applyNumberFormat="1" applyFont="1" applyAlignment="1">
      <alignment horizontal="right" vertical="top" wrapText="1"/>
    </xf>
    <xf numFmtId="0" fontId="2" fillId="0" borderId="0" xfId="0" applyFont="1" applyAlignment="1">
      <alignment horizontal="left" vertical="center" wrapText="1" indent="2"/>
    </xf>
    <xf numFmtId="9" fontId="2" fillId="0" borderId="0" xfId="2" applyFont="1" applyAlignment="1">
      <alignment horizontal="right" wrapText="1"/>
    </xf>
    <xf numFmtId="9" fontId="2" fillId="0" borderId="0" xfId="2" applyFont="1" applyAlignment="1">
      <alignment horizontal="right" vertical="center" wrapText="1"/>
    </xf>
    <xf numFmtId="10" fontId="2" fillId="0" borderId="0" xfId="2" applyNumberFormat="1" applyFont="1" applyAlignment="1">
      <alignment horizontal="right" vertical="top" wrapText="1"/>
    </xf>
    <xf numFmtId="41" fontId="2" fillId="0" borderId="0" xfId="0" applyNumberFormat="1" applyFont="1" applyAlignment="1">
      <alignment vertical="center" wrapText="1"/>
    </xf>
    <xf numFmtId="9" fontId="2" fillId="0" borderId="0" xfId="2" applyNumberFormat="1" applyFont="1" applyAlignment="1">
      <alignment horizontal="right" wrapText="1"/>
    </xf>
    <xf numFmtId="9" fontId="2" fillId="0" borderId="0" xfId="2" applyNumberFormat="1" applyFont="1" applyAlignment="1">
      <alignment vertical="center" wrapText="1"/>
    </xf>
    <xf numFmtId="9" fontId="2" fillId="0" borderId="0" xfId="2" applyNumberFormat="1" applyFont="1" applyAlignment="1">
      <alignment horizontal="right" vertical="center" wrapText="1"/>
    </xf>
    <xf numFmtId="41" fontId="2" fillId="0" borderId="0" xfId="8" applyFont="1" applyAlignment="1">
      <alignment horizontal="center" vertical="center" wrapText="1"/>
    </xf>
    <xf numFmtId="41" fontId="2" fillId="0" borderId="0" xfId="8" applyFont="1" applyAlignment="1">
      <alignment horizontal="left" vertical="top" wrapText="1"/>
    </xf>
    <xf numFmtId="41" fontId="2" fillId="0" borderId="0" xfId="8" applyFont="1" applyAlignment="1">
      <alignment horizontal="right" wrapText="1"/>
    </xf>
    <xf numFmtId="41" fontId="2" fillId="0" borderId="0" xfId="8" applyFont="1" applyAlignment="1">
      <alignment vertical="center" wrapText="1"/>
    </xf>
    <xf numFmtId="41" fontId="2" fillId="0" borderId="0" xfId="8" applyFont="1" applyAlignment="1">
      <alignment horizontal="right" vertical="center" wrapText="1"/>
    </xf>
    <xf numFmtId="171" fontId="2" fillId="0" borderId="0" xfId="2" applyNumberFormat="1" applyFont="1" applyAlignment="1">
      <alignment horizontal="right" wrapText="1"/>
    </xf>
    <xf numFmtId="171" fontId="2" fillId="0" borderId="0" xfId="2" applyNumberFormat="1" applyFont="1" applyAlignment="1">
      <alignment horizontal="right" vertical="center" wrapText="1"/>
    </xf>
    <xf numFmtId="170" fontId="2" fillId="0" borderId="0" xfId="8" applyNumberFormat="1" applyFont="1" applyAlignment="1">
      <alignment horizontal="right" wrapText="1"/>
    </xf>
    <xf numFmtId="170" fontId="2" fillId="0" borderId="0" xfId="8" applyNumberFormat="1" applyFont="1" applyAlignment="1">
      <alignment vertical="center" wrapText="1"/>
    </xf>
    <xf numFmtId="170" fontId="2" fillId="0" borderId="0" xfId="8" applyNumberFormat="1" applyFont="1" applyAlignment="1">
      <alignment horizontal="right" vertical="center" wrapText="1"/>
    </xf>
    <xf numFmtId="3" fontId="2" fillId="0" borderId="0" xfId="8" applyNumberFormat="1" applyFont="1" applyAlignment="1">
      <alignment horizontal="right" wrapText="1"/>
    </xf>
    <xf numFmtId="3" fontId="2" fillId="0" borderId="0" xfId="8" applyNumberFormat="1" applyFont="1" applyAlignment="1">
      <alignment vertical="center" wrapText="1"/>
    </xf>
    <xf numFmtId="3" fontId="2" fillId="0" borderId="0" xfId="8" applyNumberFormat="1" applyFont="1" applyAlignment="1">
      <alignment horizontal="right" vertical="center" wrapText="1"/>
    </xf>
    <xf numFmtId="3" fontId="2" fillId="0" borderId="0" xfId="8" applyNumberFormat="1" applyFont="1" applyAlignment="1">
      <alignment horizontal="right" vertical="top" wrapText="1"/>
    </xf>
    <xf numFmtId="9" fontId="2" fillId="0" borderId="0" xfId="8" applyNumberFormat="1" applyFont="1" applyAlignment="1">
      <alignment horizontal="right" vertical="center" wrapText="1"/>
    </xf>
    <xf numFmtId="9" fontId="2" fillId="0" borderId="0" xfId="8" applyNumberFormat="1" applyFont="1" applyAlignment="1">
      <alignment horizontal="right" wrapText="1"/>
    </xf>
    <xf numFmtId="41" fontId="2" fillId="0" borderId="0" xfId="8" applyFont="1" applyAlignment="1">
      <alignment horizontal="right" vertical="top" wrapText="1"/>
    </xf>
    <xf numFmtId="0" fontId="10" fillId="0" borderId="0" xfId="0" applyFont="1" applyAlignment="1">
      <alignment vertical="center" wrapText="1"/>
    </xf>
    <xf numFmtId="0" fontId="1" fillId="0" borderId="2" xfId="0" applyFont="1" applyBorder="1" applyAlignment="1">
      <alignment horizontal="left" vertical="top" wrapText="1"/>
    </xf>
    <xf numFmtId="0" fontId="2" fillId="0" borderId="2" xfId="0" applyFont="1" applyBorder="1" applyAlignment="1">
      <alignment horizontal="center" vertical="top" wrapText="1"/>
    </xf>
    <xf numFmtId="0" fontId="2" fillId="0" borderId="2" xfId="0" applyFont="1" applyBorder="1" applyAlignment="1">
      <alignment horizontal="left" vertical="top" wrapText="1"/>
    </xf>
    <xf numFmtId="170" fontId="2" fillId="0" borderId="2" xfId="8" applyNumberFormat="1" applyFont="1" applyBorder="1" applyAlignment="1">
      <alignment horizontal="right" vertical="top" wrapText="1"/>
    </xf>
    <xf numFmtId="0" fontId="2" fillId="0" borderId="2" xfId="0" applyFont="1" applyBorder="1" applyAlignment="1">
      <alignment horizontal="right" vertical="top" wrapText="1"/>
    </xf>
    <xf numFmtId="41" fontId="2" fillId="0" borderId="2" xfId="8" applyNumberFormat="1" applyFont="1" applyBorder="1" applyAlignment="1">
      <alignment horizontal="right" vertical="top" wrapText="1"/>
    </xf>
    <xf numFmtId="0" fontId="66" fillId="0" borderId="0" xfId="4" applyFont="1"/>
    <xf numFmtId="0" fontId="35" fillId="0" borderId="9" xfId="0" applyFont="1" applyBorder="1" applyAlignment="1">
      <alignment horizontal="left" vertical="top" wrapText="1"/>
    </xf>
    <xf numFmtId="175" fontId="2" fillId="0" borderId="0" xfId="0" applyNumberFormat="1" applyFont="1" applyBorder="1"/>
    <xf numFmtId="9" fontId="2" fillId="0" borderId="0" xfId="2" applyFont="1" applyAlignment="1">
      <alignment horizontal="center" vertical="center" wrapText="1"/>
    </xf>
    <xf numFmtId="9" fontId="2" fillId="0" borderId="0" xfId="2" applyFont="1" applyAlignment="1">
      <alignment horizontal="left" vertical="top" wrapText="1"/>
    </xf>
    <xf numFmtId="9" fontId="2" fillId="0" borderId="0" xfId="2" applyFont="1" applyAlignment="1">
      <alignment horizontal="right" vertical="top" wrapText="1"/>
    </xf>
    <xf numFmtId="9" fontId="2" fillId="0" borderId="0" xfId="2" applyFont="1" applyAlignment="1">
      <alignment vertical="center" wrapText="1"/>
    </xf>
    <xf numFmtId="171" fontId="2" fillId="0" borderId="0" xfId="2" applyNumberFormat="1" applyFont="1" applyAlignment="1">
      <alignment horizontal="left" vertical="center" wrapText="1" indent="2"/>
    </xf>
    <xf numFmtId="171" fontId="2" fillId="0" borderId="0" xfId="2" applyNumberFormat="1" applyFont="1" applyAlignment="1">
      <alignment horizontal="center" vertical="center" wrapText="1"/>
    </xf>
    <xf numFmtId="171" fontId="2" fillId="0" borderId="0" xfId="2" applyNumberFormat="1" applyFont="1" applyAlignment="1">
      <alignment horizontal="left" vertical="top" wrapText="1"/>
    </xf>
    <xf numFmtId="171" fontId="2" fillId="0" borderId="0" xfId="2" applyNumberFormat="1" applyFont="1" applyAlignment="1">
      <alignment horizontal="right" vertical="top" wrapText="1"/>
    </xf>
    <xf numFmtId="171" fontId="2" fillId="0" borderId="0" xfId="2" applyNumberFormat="1" applyFont="1" applyAlignment="1">
      <alignment vertical="center" wrapText="1"/>
    </xf>
    <xf numFmtId="43" fontId="2" fillId="0" borderId="0" xfId="1" applyFont="1" applyAlignment="1">
      <alignment horizontal="right" vertical="center" wrapText="1"/>
    </xf>
    <xf numFmtId="0" fontId="2" fillId="0" borderId="0" xfId="0" applyNumberFormat="1" applyFont="1" applyAlignment="1">
      <alignment horizontal="left" vertical="top" wrapText="1"/>
    </xf>
    <xf numFmtId="0" fontId="2" fillId="0" borderId="0" xfId="0" applyNumberFormat="1" applyFont="1" applyAlignment="1">
      <alignment horizontal="center" vertical="top" wrapText="1"/>
    </xf>
    <xf numFmtId="0" fontId="2" fillId="0" borderId="0" xfId="8" applyNumberFormat="1" applyFont="1" applyAlignment="1">
      <alignment horizontal="right" vertical="top" wrapText="1"/>
    </xf>
    <xf numFmtId="0" fontId="2" fillId="0" borderId="0" xfId="0" applyNumberFormat="1" applyFont="1" applyAlignment="1">
      <alignment horizontal="right" vertical="top" wrapText="1"/>
    </xf>
    <xf numFmtId="41" fontId="2" fillId="0" borderId="0" xfId="0" applyNumberFormat="1" applyFont="1" applyAlignment="1">
      <alignment horizontal="center" vertical="top" wrapText="1"/>
    </xf>
    <xf numFmtId="41" fontId="2" fillId="0" borderId="0" xfId="0" applyNumberFormat="1" applyFont="1" applyAlignment="1">
      <alignment horizontal="right" vertical="top" wrapText="1"/>
    </xf>
    <xf numFmtId="41" fontId="2" fillId="0" borderId="0" xfId="8" applyFont="1" applyAlignment="1">
      <alignment vertical="top" wrapText="1"/>
    </xf>
    <xf numFmtId="170" fontId="2" fillId="0" borderId="0" xfId="8" applyNumberFormat="1" applyFont="1" applyFill="1" applyAlignment="1">
      <alignment horizontal="right" vertical="top" wrapText="1"/>
    </xf>
    <xf numFmtId="0" fontId="2" fillId="0" borderId="0" xfId="8" applyNumberFormat="1" applyFont="1" applyFill="1" applyAlignment="1">
      <alignment horizontal="right" vertical="top" wrapText="1"/>
    </xf>
    <xf numFmtId="41" fontId="2" fillId="0" borderId="0" xfId="8" applyNumberFormat="1" applyFont="1" applyFill="1" applyAlignment="1">
      <alignment horizontal="right" vertical="top" wrapText="1"/>
    </xf>
    <xf numFmtId="170" fontId="1" fillId="0" borderId="2" xfId="8" applyNumberFormat="1" applyFont="1" applyFill="1" applyBorder="1" applyAlignment="1">
      <alignment horizontal="center" vertical="center" wrapText="1"/>
    </xf>
    <xf numFmtId="41" fontId="2" fillId="0" borderId="0" xfId="8" applyNumberFormat="1" applyFont="1" applyFill="1" applyAlignment="1">
      <alignment horizontal="right" wrapText="1"/>
    </xf>
    <xf numFmtId="171" fontId="2" fillId="0" borderId="0" xfId="2" applyNumberFormat="1" applyFont="1" applyFill="1" applyAlignment="1">
      <alignment horizontal="right" wrapText="1"/>
    </xf>
    <xf numFmtId="9" fontId="2" fillId="0" borderId="0" xfId="2" applyFont="1" applyFill="1" applyAlignment="1">
      <alignment horizontal="right" wrapText="1"/>
    </xf>
    <xf numFmtId="9" fontId="2" fillId="0" borderId="0" xfId="2" applyNumberFormat="1" applyFont="1" applyFill="1" applyAlignment="1">
      <alignment horizontal="right" wrapText="1"/>
    </xf>
    <xf numFmtId="41" fontId="2" fillId="0" borderId="0" xfId="8" applyFont="1" applyFill="1" applyAlignment="1">
      <alignment horizontal="right" wrapText="1"/>
    </xf>
    <xf numFmtId="170" fontId="2" fillId="0" borderId="0" xfId="8" applyNumberFormat="1" applyFont="1" applyFill="1" applyAlignment="1">
      <alignment horizontal="right" wrapText="1"/>
    </xf>
    <xf numFmtId="3" fontId="2" fillId="0" borderId="0" xfId="8" applyNumberFormat="1" applyFont="1" applyFill="1" applyAlignment="1">
      <alignment horizontal="right" wrapText="1"/>
    </xf>
    <xf numFmtId="9" fontId="2" fillId="0" borderId="0" xfId="8" applyNumberFormat="1" applyFont="1" applyFill="1" applyAlignment="1">
      <alignment horizontal="right" wrapText="1"/>
    </xf>
    <xf numFmtId="170" fontId="2" fillId="0" borderId="2" xfId="8" applyNumberFormat="1" applyFont="1" applyFill="1" applyBorder="1" applyAlignment="1">
      <alignment horizontal="right" vertical="top" wrapText="1"/>
    </xf>
    <xf numFmtId="170" fontId="2" fillId="0" borderId="0" xfId="8" applyNumberFormat="1" applyFont="1" applyFill="1" applyAlignment="1">
      <alignment horizontal="left" vertical="top"/>
    </xf>
    <xf numFmtId="0" fontId="2" fillId="0" borderId="0" xfId="0" applyFont="1" applyFill="1" applyBorder="1" applyAlignment="1">
      <alignment horizontal="left" vertical="top" wrapText="1"/>
    </xf>
    <xf numFmtId="0" fontId="2" fillId="0" borderId="0" xfId="0" applyFont="1" applyBorder="1" applyAlignment="1">
      <alignment horizontal="left" vertical="top" wrapText="1"/>
    </xf>
    <xf numFmtId="0" fontId="2" fillId="0" borderId="0" xfId="0" applyNumberFormat="1" applyFont="1" applyFill="1" applyBorder="1" applyAlignment="1">
      <alignment horizontal="left" vertical="top" wrapText="1"/>
    </xf>
    <xf numFmtId="0" fontId="2" fillId="0" borderId="0" xfId="0" applyNumberFormat="1" applyFont="1" applyBorder="1" applyAlignment="1">
      <alignment horizontal="left" vertical="top" wrapText="1"/>
    </xf>
    <xf numFmtId="41" fontId="2" fillId="0" borderId="0" xfId="0" applyNumberFormat="1" applyFont="1" applyFill="1" applyBorder="1" applyAlignment="1">
      <alignment horizontal="left" vertical="top" wrapText="1"/>
    </xf>
    <xf numFmtId="41" fontId="2" fillId="0" borderId="0" xfId="0" applyNumberFormat="1" applyFont="1" applyBorder="1" applyAlignment="1">
      <alignment horizontal="left" vertical="top" wrapText="1"/>
    </xf>
    <xf numFmtId="0" fontId="1" fillId="0" borderId="0" xfId="0" applyFont="1" applyFill="1" applyBorder="1" applyAlignment="1">
      <alignment horizontal="left" vertical="top" wrapText="1"/>
    </xf>
    <xf numFmtId="0" fontId="1" fillId="0" borderId="0" xfId="0" applyFont="1" applyBorder="1" applyAlignment="1">
      <alignment horizontal="left" vertical="center" wrapText="1"/>
    </xf>
    <xf numFmtId="171" fontId="2" fillId="0" borderId="0" xfId="2" applyNumberFormat="1" applyFont="1" applyBorder="1" applyAlignment="1">
      <alignment horizontal="left" vertical="top" wrapText="1"/>
    </xf>
    <xf numFmtId="9" fontId="2" fillId="0" borderId="0" xfId="2" applyFont="1" applyBorder="1" applyAlignment="1">
      <alignment horizontal="left" vertical="top" wrapText="1"/>
    </xf>
    <xf numFmtId="41" fontId="2" fillId="0" borderId="0" xfId="8" applyFont="1" applyBorder="1" applyAlignment="1">
      <alignment horizontal="left" vertical="top" wrapText="1"/>
    </xf>
    <xf numFmtId="171" fontId="35" fillId="0" borderId="6" xfId="2" applyNumberFormat="1" applyFont="1" applyFill="1" applyBorder="1"/>
    <xf numFmtId="0" fontId="35" fillId="0" borderId="30" xfId="0" applyFont="1" applyFill="1" applyBorder="1" applyAlignment="1">
      <alignment horizontal="left"/>
    </xf>
    <xf numFmtId="0" fontId="35" fillId="0" borderId="0" xfId="0" applyFont="1" applyAlignment="1">
      <alignment horizontal="left" vertical="top" wrapText="1"/>
    </xf>
    <xf numFmtId="41" fontId="4" fillId="0" borderId="6" xfId="8" applyNumberFormat="1" applyFont="1" applyFill="1" applyBorder="1" applyAlignment="1">
      <alignment horizontal="center" vertical="top" wrapText="1"/>
    </xf>
    <xf numFmtId="0" fontId="35" fillId="0" borderId="0" xfId="0" applyFont="1" applyAlignment="1">
      <alignment wrapText="1"/>
    </xf>
    <xf numFmtId="0" fontId="34" fillId="0" borderId="6" xfId="0" applyFont="1" applyBorder="1" applyAlignment="1">
      <alignment wrapText="1"/>
    </xf>
    <xf numFmtId="0" fontId="35" fillId="0" borderId="6" xfId="0" applyFont="1" applyBorder="1" applyAlignment="1">
      <alignment wrapText="1"/>
    </xf>
    <xf numFmtId="0" fontId="35" fillId="0" borderId="9" xfId="0" applyFont="1" applyBorder="1" applyAlignment="1">
      <alignment wrapText="1"/>
    </xf>
    <xf numFmtId="43" fontId="35" fillId="0" borderId="0" xfId="1" applyFont="1" applyAlignment="1">
      <alignment wrapText="1"/>
    </xf>
    <xf numFmtId="166" fontId="35" fillId="0" borderId="0" xfId="1" applyNumberFormat="1" applyFont="1"/>
    <xf numFmtId="166" fontId="35" fillId="38" borderId="0" xfId="1" applyNumberFormat="1" applyFont="1" applyFill="1"/>
    <xf numFmtId="3" fontId="1" fillId="0" borderId="1" xfId="1" applyNumberFormat="1" applyFont="1" applyFill="1" applyBorder="1" applyAlignment="1">
      <alignment vertical="center"/>
    </xf>
    <xf numFmtId="3" fontId="30" fillId="0" borderId="0" xfId="0" applyNumberFormat="1" applyFont="1" applyAlignment="1">
      <alignment horizontal="right" vertical="center" wrapText="1"/>
    </xf>
    <xf numFmtId="3" fontId="8" fillId="0" borderId="0" xfId="1" applyNumberFormat="1" applyFont="1" applyAlignment="1">
      <alignment vertical="top"/>
    </xf>
    <xf numFmtId="0" fontId="67" fillId="0" borderId="0" xfId="0" applyFont="1"/>
    <xf numFmtId="0" fontId="68" fillId="0" borderId="0" xfId="0" applyFont="1"/>
    <xf numFmtId="0" fontId="68" fillId="0" borderId="0" xfId="0" applyFont="1" applyBorder="1"/>
    <xf numFmtId="3" fontId="69" fillId="4" borderId="0" xfId="1" applyNumberFormat="1" applyFont="1" applyFill="1"/>
    <xf numFmtId="3" fontId="2" fillId="0" borderId="3" xfId="0" applyNumberFormat="1" applyFont="1" applyBorder="1"/>
    <xf numFmtId="171" fontId="2" fillId="0" borderId="2" xfId="2" applyNumberFormat="1" applyFont="1" applyBorder="1"/>
    <xf numFmtId="3" fontId="68" fillId="0" borderId="0" xfId="0" applyNumberFormat="1" applyFont="1" applyBorder="1"/>
    <xf numFmtId="0" fontId="8" fillId="0" borderId="0" xfId="0" applyFont="1" applyFill="1" applyBorder="1"/>
    <xf numFmtId="4" fontId="8" fillId="0" borderId="0" xfId="0" applyNumberFormat="1" applyFont="1"/>
    <xf numFmtId="170" fontId="8" fillId="0" borderId="0" xfId="8" applyNumberFormat="1" applyFont="1"/>
    <xf numFmtId="4" fontId="9" fillId="4" borderId="0" xfId="1" applyNumberFormat="1" applyFont="1" applyFill="1"/>
    <xf numFmtId="4" fontId="8" fillId="0" borderId="0" xfId="1" applyNumberFormat="1" applyFont="1" applyAlignment="1">
      <alignment vertical="top"/>
    </xf>
    <xf numFmtId="4" fontId="2" fillId="0" borderId="3" xfId="0" applyNumberFormat="1" applyFont="1" applyBorder="1"/>
    <xf numFmtId="0" fontId="2" fillId="0" borderId="0" xfId="0" applyFont="1" applyAlignment="1">
      <alignment horizontal="left" vertical="top" wrapText="1"/>
    </xf>
    <xf numFmtId="0" fontId="2" fillId="0" borderId="0" xfId="0" applyFont="1" applyFill="1" applyAlignment="1">
      <alignment horizontal="center"/>
    </xf>
    <xf numFmtId="0" fontId="7" fillId="0" borderId="0" xfId="0" applyFont="1" applyFill="1" applyBorder="1" applyAlignment="1">
      <alignment vertical="center"/>
    </xf>
    <xf numFmtId="166" fontId="2" fillId="0" borderId="12" xfId="1" applyNumberFormat="1" applyFont="1" applyFill="1" applyBorder="1" applyAlignment="1">
      <alignment horizontal="right"/>
    </xf>
    <xf numFmtId="166" fontId="2" fillId="0" borderId="0" xfId="1" applyNumberFormat="1" applyFont="1" applyFill="1" applyBorder="1" applyAlignment="1">
      <alignment horizontal="right"/>
    </xf>
    <xf numFmtId="166" fontId="2" fillId="0" borderId="15" xfId="1" applyNumberFormat="1" applyFont="1" applyFill="1" applyBorder="1" applyAlignment="1">
      <alignment horizontal="right"/>
    </xf>
    <xf numFmtId="166" fontId="2" fillId="0" borderId="17" xfId="1" applyNumberFormat="1" applyFont="1" applyFill="1" applyBorder="1" applyAlignment="1">
      <alignment horizontal="right"/>
    </xf>
    <xf numFmtId="0" fontId="10" fillId="0" borderId="0" xfId="0" applyFont="1" applyFill="1" applyBorder="1" applyAlignment="1">
      <alignment vertical="center"/>
    </xf>
    <xf numFmtId="180" fontId="2" fillId="0" borderId="0" xfId="0" applyNumberFormat="1" applyFont="1" applyFill="1" applyBorder="1" applyAlignment="1">
      <alignment horizontal="left" vertical="center" indent="2"/>
    </xf>
    <xf numFmtId="0" fontId="2" fillId="0" borderId="0" xfId="0" applyFont="1" applyFill="1" applyAlignment="1">
      <alignment horizontal="right"/>
    </xf>
    <xf numFmtId="0" fontId="2" fillId="0" borderId="12" xfId="0" applyFont="1" applyFill="1" applyBorder="1" applyAlignment="1">
      <alignment horizontal="right"/>
    </xf>
    <xf numFmtId="0" fontId="2" fillId="0" borderId="0" xfId="0" applyFont="1" applyFill="1" applyBorder="1" applyAlignment="1">
      <alignment horizontal="right"/>
    </xf>
    <xf numFmtId="0" fontId="2" fillId="0" borderId="15" xfId="0" applyFont="1" applyFill="1" applyBorder="1" applyAlignment="1">
      <alignment horizontal="right"/>
    </xf>
    <xf numFmtId="166" fontId="2" fillId="0" borderId="0" xfId="1" applyNumberFormat="1" applyFont="1" applyFill="1" applyAlignment="1">
      <alignment horizontal="center"/>
    </xf>
    <xf numFmtId="166" fontId="2" fillId="0" borderId="0" xfId="1" applyNumberFormat="1" applyFont="1" applyFill="1" applyBorder="1" applyAlignment="1">
      <alignment horizontal="left" vertical="center" indent="2"/>
    </xf>
    <xf numFmtId="0" fontId="2" fillId="0" borderId="0" xfId="0" applyFont="1" applyFill="1" applyAlignment="1">
      <alignment horizontal="left" indent="2"/>
    </xf>
    <xf numFmtId="180" fontId="2" fillId="0" borderId="0" xfId="0" applyNumberFormat="1" applyFont="1" applyFill="1" applyAlignment="1">
      <alignment horizontal="center"/>
    </xf>
    <xf numFmtId="180" fontId="2" fillId="0" borderId="0" xfId="1" applyNumberFormat="1" applyFont="1" applyFill="1" applyBorder="1" applyAlignment="1">
      <alignment horizontal="right"/>
    </xf>
    <xf numFmtId="180" fontId="2" fillId="0" borderId="15" xfId="1" applyNumberFormat="1" applyFont="1" applyFill="1" applyBorder="1" applyAlignment="1">
      <alignment horizontal="right"/>
    </xf>
    <xf numFmtId="180" fontId="2" fillId="0" borderId="12" xfId="1" applyNumberFormat="1" applyFont="1" applyFill="1" applyBorder="1" applyAlignment="1">
      <alignment horizontal="right"/>
    </xf>
    <xf numFmtId="180" fontId="2" fillId="0" borderId="0" xfId="1" applyNumberFormat="1" applyFont="1" applyFill="1" applyAlignment="1">
      <alignment horizontal="right"/>
    </xf>
    <xf numFmtId="180" fontId="2" fillId="0" borderId="17" xfId="1" applyNumberFormat="1" applyFont="1" applyFill="1" applyBorder="1" applyAlignment="1">
      <alignment horizontal="right"/>
    </xf>
    <xf numFmtId="180" fontId="2" fillId="0" borderId="0" xfId="0" applyNumberFormat="1" applyFont="1" applyFill="1"/>
    <xf numFmtId="180" fontId="2" fillId="0" borderId="0" xfId="0" applyNumberFormat="1" applyFont="1" applyFill="1" applyAlignment="1">
      <alignment horizontal="right"/>
    </xf>
    <xf numFmtId="180" fontId="2" fillId="0" borderId="12" xfId="0" applyNumberFormat="1" applyFont="1" applyFill="1" applyBorder="1" applyAlignment="1">
      <alignment horizontal="right"/>
    </xf>
    <xf numFmtId="180" fontId="2" fillId="0" borderId="0" xfId="0" applyNumberFormat="1" applyFont="1" applyFill="1" applyBorder="1" applyAlignment="1">
      <alignment horizontal="right"/>
    </xf>
    <xf numFmtId="180" fontId="2" fillId="0" borderId="15" xfId="0" applyNumberFormat="1" applyFont="1" applyFill="1" applyBorder="1" applyAlignment="1">
      <alignment horizontal="right"/>
    </xf>
    <xf numFmtId="0" fontId="2" fillId="0" borderId="0" xfId="0" applyFont="1" applyFill="1" applyBorder="1" applyAlignment="1">
      <alignment horizontal="left" vertical="center" indent="2"/>
    </xf>
    <xf numFmtId="166" fontId="2" fillId="0" borderId="0" xfId="1" applyNumberFormat="1" applyFont="1" applyFill="1" applyAlignment="1">
      <alignment horizontal="left"/>
    </xf>
    <xf numFmtId="11" fontId="2" fillId="0" borderId="0" xfId="0" applyNumberFormat="1" applyFont="1"/>
    <xf numFmtId="0" fontId="2" fillId="0" borderId="0" xfId="0" applyFont="1" applyAlignment="1">
      <alignment horizontal="left" vertical="top" wrapText="1"/>
    </xf>
    <xf numFmtId="0" fontId="35" fillId="0" borderId="0" xfId="0" applyFont="1" applyAlignment="1">
      <alignment horizontal="center"/>
    </xf>
    <xf numFmtId="0" fontId="70" fillId="0" borderId="0" xfId="4" applyFont="1"/>
    <xf numFmtId="0" fontId="70" fillId="0" borderId="0" xfId="4" applyFont="1" applyAlignment="1">
      <alignment horizontal="left" indent="2"/>
    </xf>
    <xf numFmtId="0" fontId="35" fillId="0" borderId="0" xfId="0" applyFont="1" applyFill="1"/>
    <xf numFmtId="0" fontId="36" fillId="0" borderId="5" xfId="0" applyFont="1" applyFill="1" applyBorder="1" applyAlignment="1">
      <alignment vertical="center"/>
    </xf>
    <xf numFmtId="165" fontId="4" fillId="0" borderId="0" xfId="0" applyNumberFormat="1" applyFont="1" applyFill="1" applyBorder="1" applyAlignment="1">
      <alignment vertical="center" wrapText="1"/>
    </xf>
    <xf numFmtId="0" fontId="71" fillId="0" borderId="0" xfId="0" applyFont="1"/>
    <xf numFmtId="0" fontId="4" fillId="0" borderId="0" xfId="0" applyFont="1" applyFill="1" applyAlignment="1">
      <alignment horizontal="left" vertical="center" wrapText="1"/>
    </xf>
    <xf numFmtId="0" fontId="2" fillId="0" borderId="0" xfId="0" applyFont="1" applyAlignment="1">
      <alignment horizontal="left" vertical="top" wrapText="1"/>
    </xf>
    <xf numFmtId="170" fontId="4" fillId="0" borderId="11" xfId="8" applyNumberFormat="1" applyFont="1" applyFill="1" applyBorder="1" applyAlignment="1">
      <alignment horizontal="center" vertical="top" wrapText="1"/>
    </xf>
    <xf numFmtId="41" fontId="4" fillId="0" borderId="11" xfId="8" applyNumberFormat="1" applyFont="1" applyFill="1" applyBorder="1" applyAlignment="1">
      <alignment horizontal="center" vertical="top" wrapText="1"/>
    </xf>
    <xf numFmtId="0" fontId="2" fillId="0" borderId="0" xfId="0" applyFont="1" applyAlignment="1">
      <alignment horizontal="left" vertical="top" wrapText="1"/>
    </xf>
    <xf numFmtId="0" fontId="2" fillId="0" borderId="0" xfId="0" applyFont="1" applyFill="1" applyBorder="1" applyAlignment="1">
      <alignment horizontal="left" vertical="top" wrapText="1"/>
    </xf>
    <xf numFmtId="0" fontId="2" fillId="0" borderId="0" xfId="0" applyFont="1" applyBorder="1" applyAlignment="1">
      <alignment horizontal="left" vertical="top" wrapText="1"/>
    </xf>
    <xf numFmtId="41" fontId="2" fillId="0" borderId="6" xfId="8" applyFont="1" applyFill="1" applyBorder="1" applyAlignment="1">
      <alignment horizontal="center" vertical="top" wrapText="1"/>
    </xf>
    <xf numFmtId="17" fontId="2" fillId="0" borderId="6" xfId="0" applyNumberFormat="1" applyFont="1" applyBorder="1" applyAlignment="1">
      <alignment horizontal="center" vertical="top" wrapText="1"/>
    </xf>
    <xf numFmtId="0" fontId="1" fillId="0" borderId="6" xfId="0" applyFont="1" applyBorder="1" applyAlignment="1">
      <alignment horizontal="center" vertical="center" wrapText="1"/>
    </xf>
    <xf numFmtId="17" fontId="2" fillId="0" borderId="6" xfId="0" applyNumberFormat="1" applyFont="1" applyFill="1" applyBorder="1" applyAlignment="1">
      <alignment horizontal="center" vertical="top" wrapText="1"/>
    </xf>
    <xf numFmtId="0" fontId="35" fillId="0" borderId="0" xfId="0" applyFont="1" applyAlignment="1">
      <alignment horizontal="left" vertical="top" wrapText="1"/>
    </xf>
    <xf numFmtId="0" fontId="23" fillId="0" borderId="3" xfId="6" applyNumberFormat="1" applyFont="1" applyBorder="1" applyAlignment="1" applyProtection="1">
      <alignment horizontal="left" vertical="center" wrapText="1"/>
    </xf>
  </cellXfs>
  <cellStyles count="148">
    <cellStyle name="20% - Énfasis1" xfId="30" builtinId="30" customBuiltin="1"/>
    <cellStyle name="20% - Énfasis2" xfId="34" builtinId="34" customBuiltin="1"/>
    <cellStyle name="20% - Énfasis3" xfId="38" builtinId="38" customBuiltin="1"/>
    <cellStyle name="20% - Énfasis4" xfId="42" builtinId="42" customBuiltin="1"/>
    <cellStyle name="20% - Énfasis5" xfId="46" builtinId="46" customBuiltin="1"/>
    <cellStyle name="20% - Énfasis6" xfId="50" builtinId="50" customBuiltin="1"/>
    <cellStyle name="40% - Énfasis1" xfId="31" builtinId="31" customBuiltin="1"/>
    <cellStyle name="40% - Énfasis2" xfId="35" builtinId="35" customBuiltin="1"/>
    <cellStyle name="40% - Énfasis3" xfId="39" builtinId="39" customBuiltin="1"/>
    <cellStyle name="40% - Énfasis4" xfId="43" builtinId="43" customBuiltin="1"/>
    <cellStyle name="40% - Énfasis5" xfId="47" builtinId="47" customBuiltin="1"/>
    <cellStyle name="40% - Énfasis6" xfId="51" builtinId="51" customBuiltin="1"/>
    <cellStyle name="60% - Énfasis1" xfId="32" builtinId="32" customBuiltin="1"/>
    <cellStyle name="60% - Énfasis2" xfId="36" builtinId="36" customBuiltin="1"/>
    <cellStyle name="60% - Énfasis3" xfId="40" builtinId="40" customBuiltin="1"/>
    <cellStyle name="60% - Énfasis4" xfId="44" builtinId="44" customBuiltin="1"/>
    <cellStyle name="60% - Énfasis5" xfId="48" builtinId="48" customBuiltin="1"/>
    <cellStyle name="60% - Énfasis6" xfId="52" builtinId="52" customBuiltin="1"/>
    <cellStyle name="Bueno" xfId="17" builtinId="26" customBuiltin="1"/>
    <cellStyle name="Cálculo" xfId="22" builtinId="22" customBuiltin="1"/>
    <cellStyle name="Celda de comprobación" xfId="24" builtinId="23" customBuiltin="1"/>
    <cellStyle name="Celda vinculada" xfId="23" builtinId="24" customBuiltin="1"/>
    <cellStyle name="Encabezado 1" xfId="13" builtinId="16" customBuiltin="1"/>
    <cellStyle name="Encabezado 4" xfId="16" builtinId="19" customBuiltin="1"/>
    <cellStyle name="Énfasis1" xfId="29" builtinId="29" customBuiltin="1"/>
    <cellStyle name="Énfasis2" xfId="33" builtinId="33" customBuiltin="1"/>
    <cellStyle name="Énfasis3" xfId="37" builtinId="37" customBuiltin="1"/>
    <cellStyle name="Énfasis4" xfId="41" builtinId="41" customBuiltin="1"/>
    <cellStyle name="Énfasis5" xfId="45" builtinId="45" customBuiltin="1"/>
    <cellStyle name="Énfasis6" xfId="49" builtinId="49" customBuiltin="1"/>
    <cellStyle name="Entrada" xfId="20" builtinId="20" customBuiltin="1"/>
    <cellStyle name="Hipervínculo" xfId="4" builtinId="8"/>
    <cellStyle name="Incorrecto" xfId="18" builtinId="27" customBuiltin="1"/>
    <cellStyle name="Millares" xfId="1" builtinId="3"/>
    <cellStyle name="Millares [0]" xfId="8" builtinId="6"/>
    <cellStyle name="Millares [0] 10" xfId="131" xr:uid="{5209E71E-90F6-42BB-B947-60964E5BE8A6}"/>
    <cellStyle name="Millares [0] 11" xfId="139" xr:uid="{2035D848-BD12-4C1D-9328-8A2A22167209}"/>
    <cellStyle name="Millares [0] 12" xfId="63" xr:uid="{22AAC9B5-69D5-454A-9793-D170A4D09B74}"/>
    <cellStyle name="Millares [0] 13" xfId="147" xr:uid="{9D61596A-DF95-4D23-8C7A-B08605727E44}"/>
    <cellStyle name="Millares [0] 2" xfId="65" xr:uid="{C764C0A5-9D69-4B9A-902A-8F4C97EA9FC9}"/>
    <cellStyle name="Millares [0] 2 2" xfId="70" xr:uid="{18F5ED0B-4F34-4F93-BBE9-AFEC422C26F8}"/>
    <cellStyle name="Millares [0] 2 2 2" xfId="97" xr:uid="{0FCB4D93-7018-46E5-873E-8F22E36919AA}"/>
    <cellStyle name="Millares [0] 2 2 3" xfId="122" xr:uid="{0B46F1C2-7965-4A6D-9D26-3916CA7D81D2}"/>
    <cellStyle name="Millares [0] 2 3" xfId="73" xr:uid="{B6576860-28E0-4FA2-9CDE-1E3BF899A52B}"/>
    <cellStyle name="Millares [0] 2 3 2" xfId="93" xr:uid="{F84F852C-89F5-4A26-846F-9A78244A7BA1}"/>
    <cellStyle name="Millares [0] 2 3 3" xfId="118" xr:uid="{F84F5E96-6844-4ADA-89A7-0CD769052645}"/>
    <cellStyle name="Millares [0] 2 4" xfId="84" xr:uid="{119259DD-167F-4246-B352-9B60B504D059}"/>
    <cellStyle name="Millares [0] 2 5" xfId="112" xr:uid="{742C5712-BA83-4E1D-B3CC-55167272D1A1}"/>
    <cellStyle name="Millares [0] 3" xfId="68" xr:uid="{03421DFB-3FD1-452F-9E73-D9A018EEBF3B}"/>
    <cellStyle name="Millares [0] 3 2" xfId="98" xr:uid="{AC392C34-5EEB-4C07-A884-674EA7919E6B}"/>
    <cellStyle name="Millares [0] 3 2 2" xfId="123" xr:uid="{A28506AD-05E4-4A93-8514-E129D8E1786F}"/>
    <cellStyle name="Millares [0] 3 3" xfId="86" xr:uid="{5D9BCB0F-3124-48AB-B8E8-72A0A692DF15}"/>
    <cellStyle name="Millares [0] 3 4" xfId="113" xr:uid="{65922341-B1E2-4C89-87DF-7392C765FA82}"/>
    <cellStyle name="Millares [0] 4" xfId="80" xr:uid="{244E1DF1-96D2-4ACA-AC29-74AC986CA250}"/>
    <cellStyle name="Millares [0] 4 2" xfId="100" xr:uid="{2F486A92-21FA-483D-9B08-BDFFC43D603C}"/>
    <cellStyle name="Millares [0] 4 3" xfId="125" xr:uid="{219B2829-B910-4050-A21A-67BD7591EF96}"/>
    <cellStyle name="Millares [0] 5" xfId="95" xr:uid="{B52E972A-0036-4432-9BD9-AF43F53F64B4}"/>
    <cellStyle name="Millares [0] 5 2" xfId="120" xr:uid="{7F3D5F11-DD4E-4583-AB7D-57E46CA2BCD4}"/>
    <cellStyle name="Millares [0] 6" xfId="89" xr:uid="{FB5AEECD-9E90-486B-8774-B6498F8AA465}"/>
    <cellStyle name="Millares [0] 6 2" xfId="116" xr:uid="{672EE0C6-0521-49ED-AF68-AA6AD82BC75C}"/>
    <cellStyle name="Millares [0] 7" xfId="87" xr:uid="{99D14F4F-D7FB-43EE-8DB0-3421D1EA3CA9}"/>
    <cellStyle name="Millares [0] 7 2" xfId="114" xr:uid="{5D9802DC-DB05-4337-8933-9B11756E24AD}"/>
    <cellStyle name="Millares [0] 8" xfId="82" xr:uid="{4415A928-1976-4748-8BF2-4189CE5D4273}"/>
    <cellStyle name="Millares [0] 9" xfId="103" xr:uid="{014D18F9-6A5B-45CF-B104-B18A08974DDB}"/>
    <cellStyle name="Millares 10" xfId="107" xr:uid="{75DDDD32-C47F-4B66-A60F-775E62341C90}"/>
    <cellStyle name="Millares 11" xfId="110" xr:uid="{E0E93E74-F007-412F-9B48-BF7EA49F8F90}"/>
    <cellStyle name="Millares 12" xfId="128" xr:uid="{D6306866-2605-4BF3-976A-6DD280BC928E}"/>
    <cellStyle name="Millares 12 2 2" xfId="144" xr:uid="{6C2B045B-20B3-4579-BC57-471FE6556164}"/>
    <cellStyle name="Millares 13" xfId="111" xr:uid="{9BE9C6BC-8C97-4C04-8708-6902212805A5}"/>
    <cellStyle name="Millares 14" xfId="136" xr:uid="{9CA374A3-EF59-4531-BE18-AED4C73E3B77}"/>
    <cellStyle name="Millares 15" xfId="140" xr:uid="{AE875D6B-AC5E-4BBB-8C1B-55BCFE067913}"/>
    <cellStyle name="Millares 16" xfId="146" xr:uid="{417218BF-7ABC-45CB-82D3-D59CF3792858}"/>
    <cellStyle name="Millares 17" xfId="145" xr:uid="{7886FDB9-98B2-44BB-BD58-86D0C855F803}"/>
    <cellStyle name="Millares 2" xfId="56" xr:uid="{4CF7EDA1-E635-470C-BC7E-EB76B7770747}"/>
    <cellStyle name="Millares 2 2" xfId="58" xr:uid="{4C44177B-8344-4F03-A985-27F0A97B8C4C}"/>
    <cellStyle name="Millares 2 2 2 2" xfId="10" xr:uid="{6C0AD040-465F-46E5-9BAD-5F35AFFC4ADF}"/>
    <cellStyle name="Millares 2 3" xfId="76" xr:uid="{1DF2A405-2DCE-413B-88B9-581FC5E0DC00}"/>
    <cellStyle name="Millares 2 4" xfId="99" xr:uid="{564FFD30-E980-4F14-BB5F-A6C900721BD3}"/>
    <cellStyle name="Millares 2 5" xfId="124" xr:uid="{5A3083A0-ACB2-4968-A304-C1ECB82EE6C5}"/>
    <cellStyle name="Millares 28" xfId="6" xr:uid="{00000000-0005-0000-0000-000003000000}"/>
    <cellStyle name="Millares 3" xfId="61" xr:uid="{CB912A6D-6D8B-4727-AC48-26E87F7F7768}"/>
    <cellStyle name="Millares 3 2" xfId="96" xr:uid="{64D3A49C-7EAB-4B43-8854-AECDF5B30365}"/>
    <cellStyle name="Millares 3 3" xfId="121" xr:uid="{CB3E57C2-2589-478E-9B5A-034BEA5DA36E}"/>
    <cellStyle name="Millares 4" xfId="57" xr:uid="{D4E1F8F9-A074-41E2-807C-820EFA63DE1B}"/>
    <cellStyle name="Millares 4 2" xfId="90" xr:uid="{CB417E47-7C35-4145-8ECC-0E37CC54F1AA}"/>
    <cellStyle name="Millares 4 3" xfId="117" xr:uid="{D25E44F1-BEC2-45D8-A448-379FF68F11B3}"/>
    <cellStyle name="Millares 5" xfId="67" xr:uid="{F23F5A13-E897-4D6E-AB67-DC45B27AA65D}"/>
    <cellStyle name="Millares 5 2" xfId="88" xr:uid="{BD850713-5606-4BA8-8820-5995A463C0E9}"/>
    <cellStyle name="Millares 5 3" xfId="115" xr:uid="{B183BE2D-AEC0-4233-AFF9-ACFE0E17CC63}"/>
    <cellStyle name="Millares 6" xfId="78" xr:uid="{00708113-1282-4064-854D-CDCDDFC4DBC2}"/>
    <cellStyle name="Millares 69" xfId="143" xr:uid="{C963E7EE-DCA5-432B-AD63-B4864EB62ADC}"/>
    <cellStyle name="Millares 7" xfId="83" xr:uid="{9A8415F3-002D-4725-8F87-BD2934F0E9C8}"/>
    <cellStyle name="Millares 8" xfId="104" xr:uid="{94AF20D8-55C6-4147-83E2-48519E42B1A7}"/>
    <cellStyle name="Millares 9" xfId="105" xr:uid="{D550FD99-081A-4669-9A3C-30C673734BCC}"/>
    <cellStyle name="Moneda [0]" xfId="11" builtinId="7"/>
    <cellStyle name="Moneda [0] 2" xfId="59" xr:uid="{180C7BC9-9E9C-4B0A-BD53-E48303018E73}"/>
    <cellStyle name="Moneda [0] 2 2" xfId="101" xr:uid="{CC259650-7C6D-4039-8664-8F8F2C46340D}"/>
    <cellStyle name="Moneda [0] 2 2 2" xfId="126" xr:uid="{16A65876-0155-4F07-90F2-0B343FF3BC40}"/>
    <cellStyle name="Moneda [0] 2 3" xfId="94" xr:uid="{001A5BEF-CD07-48DD-AB6A-506F9336CEA8}"/>
    <cellStyle name="Moneda [0] 2 4" xfId="119" xr:uid="{B4547793-1CB7-4FB4-91F6-62AC093445EF}"/>
    <cellStyle name="Moneda [0] 3" xfId="77" xr:uid="{692592E5-8468-4881-B2C5-4E6CE634C1AF}"/>
    <cellStyle name="Moneda [0] 4" xfId="79" xr:uid="{0C93D143-65AB-41D2-8CA5-287443B1355E}"/>
    <cellStyle name="Moneda 2" xfId="62" xr:uid="{75D15FDB-45DA-4145-831A-8767C63D6FF2}"/>
    <cellStyle name="Neutral" xfId="19" builtinId="28" customBuiltin="1"/>
    <cellStyle name="Normal" xfId="0" builtinId="0"/>
    <cellStyle name="Normal 10" xfId="108" xr:uid="{76D60F3D-6EE7-4432-85F2-239132A07E59}"/>
    <cellStyle name="Normal 11" xfId="109" xr:uid="{62EC8812-45B9-48A0-8D4A-51A6D8FA7ADA}"/>
    <cellStyle name="Normal 12" xfId="127" xr:uid="{F773D294-B925-4232-B6AD-8C4A99955513}"/>
    <cellStyle name="Normal 13" xfId="106" xr:uid="{C32AEDED-7177-4948-BEA7-71229CA5F1A3}"/>
    <cellStyle name="Normal 14" xfId="129" xr:uid="{E2FF88D5-9D14-4259-84B9-FB2044AC4F1F}"/>
    <cellStyle name="Normal 15" xfId="130" xr:uid="{BADE2140-B898-4CEE-B671-A5D90E922E8E}"/>
    <cellStyle name="Normal 16" xfId="132" xr:uid="{2D25EF58-447A-4FE9-976C-3705444963F9}"/>
    <cellStyle name="Normal 17" xfId="133" xr:uid="{76B9E804-2A10-497F-9FAA-534FD607C8C4}"/>
    <cellStyle name="Normal 170 2" xfId="7" xr:uid="{00000000-0005-0000-0000-000005000000}"/>
    <cellStyle name="Normal 172" xfId="5" xr:uid="{00000000-0005-0000-0000-000006000000}"/>
    <cellStyle name="Normal 18" xfId="134" xr:uid="{28B529CC-6825-4AAD-9BBB-92D4B51DB021}"/>
    <cellStyle name="Normal 19" xfId="135" xr:uid="{355819D5-6210-4442-901A-A902093A0DBC}"/>
    <cellStyle name="Normal 2" xfId="3" xr:uid="{00000000-0005-0000-0000-000007000000}"/>
    <cellStyle name="Normal 2 17" xfId="9" xr:uid="{45D62159-686D-4D82-A8AF-0D9594E3C065}"/>
    <cellStyle name="Normal 2 2" xfId="71" xr:uid="{84D1C848-E880-49AA-8DB5-82B037D8213C}"/>
    <cellStyle name="Normal 2 2 2" xfId="74" xr:uid="{120C4A94-A57F-46E8-926A-987FA94DE648}"/>
    <cellStyle name="Normal 2 2 3" xfId="92" xr:uid="{41D6AA7F-9E3A-4B0B-A63A-8E7E939BA844}"/>
    <cellStyle name="Normal 2 3" xfId="64" xr:uid="{DC64A87C-A911-4553-94CF-E4C6E96925D6}"/>
    <cellStyle name="Normal 2 3 2" xfId="91" xr:uid="{23AF5C93-8EAB-4273-B4A8-3678EF2F6F41}"/>
    <cellStyle name="Normal 2 4" xfId="75" xr:uid="{21B2F174-8F3B-46F8-8997-292EAD529629}"/>
    <cellStyle name="Normal 2 5" xfId="138" xr:uid="{4D93E3A2-AFDE-4804-9C82-9AFC4AB50916}"/>
    <cellStyle name="Normal 2 6" xfId="54" xr:uid="{E6282C53-0F5F-48F6-ACC2-87340AE889E6}"/>
    <cellStyle name="Normal 20" xfId="137" xr:uid="{8CD408C2-A202-4B3E-9070-8ECBA1BDE90C}"/>
    <cellStyle name="Normal 21" xfId="142" xr:uid="{714E5C27-9926-4696-A531-244E7375CFAA}"/>
    <cellStyle name="Normal 22" xfId="53" xr:uid="{75E1AE8F-85E5-464B-9354-21D5FAD23C5C}"/>
    <cellStyle name="Normal 3" xfId="60" xr:uid="{59931FE0-1A69-4307-B987-5E2CAFBF7FD5}"/>
    <cellStyle name="Normal 3 2" xfId="85" xr:uid="{36AD3B4C-478A-4FC5-A4F5-5AD899139E4E}"/>
    <cellStyle name="Normal 4" xfId="72" xr:uid="{6B728261-9B10-4912-B6B6-917F83278F55}"/>
    <cellStyle name="Normal 5" xfId="55" xr:uid="{0D707853-F11A-415C-AC60-AFA928D04B84}"/>
    <cellStyle name="Normal 6" xfId="66" xr:uid="{DA0FF7D5-2B0E-499E-9108-90EEEBBAACA0}"/>
    <cellStyle name="Normal 7" xfId="69" xr:uid="{F0545402-B941-42E3-A28F-6D6AD688E6E2}"/>
    <cellStyle name="Normal 8" xfId="81" xr:uid="{7E8C85BD-059D-4A21-88CB-0E71D87665B7}"/>
    <cellStyle name="Normal 9" xfId="102" xr:uid="{80CF7FB5-3DC1-47A6-BBAD-71357905E3B5}"/>
    <cellStyle name="Notas" xfId="26" builtinId="10" customBuiltin="1"/>
    <cellStyle name="Porcentaje" xfId="2" builtinId="5"/>
    <cellStyle name="Porcentaje 2" xfId="141" xr:uid="{DD1B193E-A65A-4977-8FE8-DAE51AC52D73}"/>
    <cellStyle name="Salida" xfId="21" builtinId="21" customBuiltin="1"/>
    <cellStyle name="Texto de advertencia" xfId="25" builtinId="11" customBuiltin="1"/>
    <cellStyle name="Texto explicativo" xfId="27" builtinId="53" customBuiltin="1"/>
    <cellStyle name="Título" xfId="12" builtinId="15" customBuiltin="1"/>
    <cellStyle name="Título 2" xfId="14" builtinId="17" customBuiltin="1"/>
    <cellStyle name="Título 3" xfId="15" builtinId="18" customBuiltin="1"/>
    <cellStyle name="Total" xfId="28"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styles" Target="style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9324975</xdr:colOff>
      <xdr:row>0</xdr:row>
      <xdr:rowOff>57151</xdr:rowOff>
    </xdr:from>
    <xdr:to>
      <xdr:col>1</xdr:col>
      <xdr:colOff>10058399</xdr:colOff>
      <xdr:row>4</xdr:row>
      <xdr:rowOff>57629</xdr:rowOff>
    </xdr:to>
    <xdr:pic>
      <xdr:nvPicPr>
        <xdr:cNvPr id="2" name="1 Imagen" descr="Recorte de pantalla">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301" b="5176"/>
        <a:stretch/>
      </xdr:blipFill>
      <xdr:spPr>
        <a:xfrm>
          <a:off x="9563100" y="57151"/>
          <a:ext cx="733424" cy="5719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652461</xdr:colOff>
      <xdr:row>85</xdr:row>
      <xdr:rowOff>27410</xdr:rowOff>
    </xdr:from>
    <xdr:to>
      <xdr:col>29</xdr:col>
      <xdr:colOff>2819398</xdr:colOff>
      <xdr:row>106</xdr:row>
      <xdr:rowOff>154127</xdr:rowOff>
    </xdr:to>
    <xdr:pic>
      <xdr:nvPicPr>
        <xdr:cNvPr id="3" name="Imagen 2">
          <a:extLst>
            <a:ext uri="{FF2B5EF4-FFF2-40B4-BE49-F238E27FC236}">
              <a16:creationId xmlns:a16="http://schemas.microsoft.com/office/drawing/2014/main" id="{FBC4209E-7489-407A-8780-7F16AFC0F029}"/>
            </a:ext>
          </a:extLst>
        </xdr:cNvPr>
        <xdr:cNvPicPr>
          <a:picLocks noChangeAspect="1"/>
        </xdr:cNvPicPr>
      </xdr:nvPicPr>
      <xdr:blipFill>
        <a:blip xmlns:r="http://schemas.openxmlformats.org/officeDocument/2006/relationships" r:embed="rId1"/>
        <a:stretch>
          <a:fillRect/>
        </a:stretch>
      </xdr:blipFill>
      <xdr:spPr>
        <a:xfrm>
          <a:off x="20309680" y="14195848"/>
          <a:ext cx="8846343" cy="36271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CNAPA121\APACONTABBCN\SOCIET\Anexos\anexo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ACCIONES/simesa/JUNTA/LIQUIDA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itan\S_Reuniones\HOME\MESACON\AUXILIAR%20OPERATIVO%20DIVISAS\CONTAB%20MANUALES\Swap%20Fanalca%20revisad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CCIONES/simesa/JUNTA/NORMAIS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Mis%20Documentos%201\USUARIOS\ARCHIVOS\EXCEL\Invergp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Mis%20Documentos%201\USUARIOS\ARCHIVOS\EXCEL\Invergp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windows\TEMP\PRESU98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CNAPA121\APACONTABCON\conso2000\09-septiembre\Estados\Eoaf9200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fmdepcd1\Fvadmfid\WINDOWS\TEMP\Accionistas%20por%20Grupos%20a%20Jul%2023-99.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Worksheet%20in%208540%20Cuentas%20de%20orden%20-%20Cedula%20sumaria%20y%20prueba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RA"/>
      <sheetName val="IMPUESTO (2)"/>
      <sheetName val="CARTERA "/>
      <sheetName val="Moneda Extr."/>
      <sheetName val="Sdo.Empres.Grupo."/>
      <sheetName val="Fonpe"/>
      <sheetName val="Prov.Riesg.Gtos."/>
      <sheetName val="Dif.Cambio"/>
      <sheetName val="IMPUESTO"/>
      <sheetName val="Ant.y Dif."/>
      <sheetName val="SINTESIS"/>
      <sheetName val="Hoja1"/>
      <sheetName val="Indicadores"/>
      <sheetName val="IMPUESTO_(2)"/>
      <sheetName val="CARTERA_"/>
      <sheetName val="Moneda_Extr_"/>
      <sheetName val="Sdo_Empres_Grupo_"/>
      <sheetName val="Prov_Riesg_Gtos_"/>
      <sheetName val="Dif_Cambio"/>
      <sheetName val="Ant_y_Dif_"/>
      <sheetName val="Listas"/>
      <sheetName val="JUNIO MICOL Pago"/>
      <sheetName val="Precios (2)"/>
      <sheetName val="Precios NE"/>
      <sheetName val="Factura"/>
      <sheetName val="Precios"/>
      <sheetName val="Toma de Relectura Sin Soporte F"/>
      <sheetName val="Multiservicios MI-MS"/>
      <sheetName val="Multiservicios NS"/>
      <sheetName val="Ctos del Plan 2019"/>
      <sheetName val="Imputación 2019"/>
      <sheetName val="Lista Cheque facturacion"/>
      <sheetName val="Prom Dia"/>
      <sheetName val="Act x OS"/>
      <sheetName val="A3"/>
      <sheetName val="Plan1"/>
      <sheetName val="Intragrupo MIN"/>
      <sheetName val="Prefactura Montaje "/>
      <sheetName val="COP 10% Equipos EM DAP"/>
      <sheetName val="USD 10% Equipos EM DAP"/>
      <sheetName val="COP 20% Scada ING DET"/>
      <sheetName val="USD 20% Scada ING DET"/>
      <sheetName val="COP 5% Equipos EM Inicio Mont"/>
      <sheetName val="USD 5% Equipos EM Inicio Mont"/>
      <sheetName val="Resumen"/>
      <sheetName val="2019 10 Acta 8 EEM"/>
      <sheetName val="2019 10 Acta 1 EEM Mon"/>
      <sheetName val="HE"/>
      <sheetName val="Ejecutado (Monedas)"/>
      <sheetName val="2018 10 Acta 3"/>
      <sheetName val="2018 09 Acta 2"/>
      <sheetName val="2018 06 Acta 1"/>
      <sheetName val="Equipos"/>
      <sheetName val="Pre-factura Sum"/>
      <sheetName val="Pre-factura OC y Mon"/>
      <sheetName val="2019 11 Acta 08"/>
      <sheetName val="Acta Parcial No.13 (OC-MEM)"/>
    </sheetNames>
    <sheetDataSet>
      <sheetData sheetId="0" refreshError="1">
        <row r="12">
          <cell r="D12" t="str">
            <v>Ajuste diferencias de cambio operaciones con Argentina (Vto. 2000)</v>
          </cell>
        </row>
        <row r="13">
          <cell r="B13">
            <v>550</v>
          </cell>
          <cell r="D13" t="str">
            <v>GASTOS FINANCIEROS</v>
          </cell>
          <cell r="F13" t="str">
            <v>DEUDA FINANCIERA L/P ( Caixa )</v>
          </cell>
          <cell r="G13">
            <v>275</v>
          </cell>
        </row>
        <row r="14">
          <cell r="F14" t="str">
            <v>DEUDA FINANCIERA L/P ( R.I.F. )</v>
          </cell>
          <cell r="G14">
            <v>275</v>
          </cell>
        </row>
        <row r="16">
          <cell r="D16" t="str">
            <v>Ajuste diferencias de cambio operaciones con Colombia, Argentina, Brasil (Vto. 2005)</v>
          </cell>
        </row>
        <row r="17">
          <cell r="B17">
            <v>3307.4</v>
          </cell>
          <cell r="D17" t="str">
            <v>GASTOS FINANCIEROS</v>
          </cell>
          <cell r="F17" t="str">
            <v>DEUDA FINANCIERA L/P ( Caixa )</v>
          </cell>
          <cell r="G17">
            <v>3307.4</v>
          </cell>
        </row>
        <row r="18">
          <cell r="D18" t="str">
            <v>Argentina</v>
          </cell>
          <cell r="E18">
            <v>273.39999999999998</v>
          </cell>
        </row>
        <row r="19">
          <cell r="D19" t="str">
            <v>Brasil</v>
          </cell>
          <cell r="E19">
            <v>1911</v>
          </cell>
        </row>
        <row r="20">
          <cell r="D20" t="str">
            <v>Colombia</v>
          </cell>
          <cell r="E20">
            <v>1100.5</v>
          </cell>
        </row>
        <row r="21">
          <cell r="D21" t="str">
            <v>Resto</v>
          </cell>
          <cell r="E21">
            <v>22.5</v>
          </cell>
        </row>
        <row r="23">
          <cell r="D23" t="str">
            <v>Ajuste diferencias de cambio operaciones con México (Vto. 2000)</v>
          </cell>
        </row>
        <row r="24">
          <cell r="B24">
            <v>280.60000000000002</v>
          </cell>
          <cell r="D24" t="str">
            <v>GASTOS FINANCIEROS</v>
          </cell>
          <cell r="F24" t="str">
            <v>DEUDA FINANCIERA L/P ( BBV )</v>
          </cell>
          <cell r="G24">
            <v>280.60000000000002</v>
          </cell>
        </row>
        <row r="26">
          <cell r="D26" t="str">
            <v>Ajuste créditos formalizados en descubierto</v>
          </cell>
        </row>
        <row r="27">
          <cell r="B27">
            <v>32000</v>
          </cell>
          <cell r="D27" t="str">
            <v>TESORERÍA</v>
          </cell>
          <cell r="F27" t="str">
            <v>DEUDA FINANCIERA LARGO PLAZO</v>
          </cell>
          <cell r="G27">
            <v>32000</v>
          </cell>
        </row>
        <row r="29">
          <cell r="D29" t="str">
            <v xml:space="preserve">Ajuste ingresos por instalaciones financiadas </v>
          </cell>
        </row>
        <row r="30">
          <cell r="B30">
            <v>1153.672</v>
          </cell>
          <cell r="D30" t="str">
            <v>DEUDORES</v>
          </cell>
          <cell r="F30" t="str">
            <v>OTRAS VENTAS</v>
          </cell>
          <cell r="G30">
            <v>1153.672</v>
          </cell>
        </row>
      </sheetData>
      <sheetData sheetId="1" refreshError="1"/>
      <sheetData sheetId="2" refreshError="1"/>
      <sheetData sheetId="3" refreshError="1"/>
      <sheetData sheetId="4" refreshError="1">
        <row r="6">
          <cell r="A6" t="str">
            <v xml:space="preserve"> AG. EN. HOSPITAL GERMANS TRIAS I PUJOL</v>
          </cell>
        </row>
        <row r="7">
          <cell r="A7" t="str">
            <v xml:space="preserve"> AG. EN.C.S.U. BELLVITGE A.I.E.</v>
          </cell>
        </row>
        <row r="8">
          <cell r="A8" t="str">
            <v xml:space="preserve"> AG.EN.HOSP. ARNAU DE VILANOVA, A.I.E.</v>
          </cell>
        </row>
        <row r="9">
          <cell r="A9" t="str">
            <v xml:space="preserve"> AG.EN.HOSP. CIUT. SANIT. VALL D'HEBRON, A.I.E.</v>
          </cell>
        </row>
        <row r="10">
          <cell r="A10" t="str">
            <v xml:space="preserve"> AG.EN.HOSP. GENERAL GRANOLLERS, A.I.E.</v>
          </cell>
        </row>
        <row r="11">
          <cell r="A11" t="str">
            <v xml:space="preserve"> AG.EN.HOSP. JOAN XXIII, A.I.E.</v>
          </cell>
        </row>
        <row r="12">
          <cell r="A12" t="str">
            <v xml:space="preserve"> AG.EN.HOSP. JOSEP TRUETA, A.I.E.</v>
          </cell>
        </row>
        <row r="13">
          <cell r="A13" t="str">
            <v xml:space="preserve"> AG.EN.HOSP. RESIDENCIA SANT CAMIL, A.I.E.</v>
          </cell>
        </row>
        <row r="14">
          <cell r="A14" t="str">
            <v xml:space="preserve"> CEG RIO, S.A. (RIOGAS)</v>
          </cell>
        </row>
        <row r="15">
          <cell r="A15" t="str">
            <v xml:space="preserve"> CÍA. AUXILIAR DE INDUSTRIAS VARIAS, S.A.</v>
          </cell>
        </row>
        <row r="16">
          <cell r="A16" t="str">
            <v xml:space="preserve"> COMPANHIA DISTRIB. DE GAS DO RIO DE JANEIRO </v>
          </cell>
        </row>
        <row r="17">
          <cell r="A17" t="str">
            <v xml:space="preserve"> COMPAÑÍA ESPAÑOLA DE GAS, S.A.</v>
          </cell>
        </row>
        <row r="18">
          <cell r="A18" t="str">
            <v xml:space="preserve"> DESARROLLO DEL CABLE S.A.</v>
          </cell>
        </row>
        <row r="19">
          <cell r="A19" t="str">
            <v xml:space="preserve"> ENAGAS</v>
          </cell>
        </row>
        <row r="20">
          <cell r="A20" t="str">
            <v xml:space="preserve"> EQUIPOS Y SERVICIOS, S.A.</v>
          </cell>
        </row>
        <row r="21">
          <cell r="A21" t="str">
            <v xml:space="preserve"> FUNDACIÓ CATALANA DE GAS</v>
          </cell>
        </row>
        <row r="22">
          <cell r="A22" t="str">
            <v xml:space="preserve"> GAS ANDALUCÍA, S.A.</v>
          </cell>
        </row>
        <row r="23">
          <cell r="A23" t="str">
            <v xml:space="preserve"> GAS CASTILLA LA MANCHA, S.A.</v>
          </cell>
        </row>
        <row r="24">
          <cell r="A24" t="str">
            <v xml:space="preserve"> GAS EUSKADI, S.A.</v>
          </cell>
        </row>
        <row r="25">
          <cell r="A25" t="str">
            <v xml:space="preserve"> GAS GALICIA, SDG, S.A.</v>
          </cell>
        </row>
        <row r="26">
          <cell r="A26" t="str">
            <v xml:space="preserve"> GAS NATURAL APROVISIONAMIENTOS,  S.A.</v>
          </cell>
        </row>
        <row r="27">
          <cell r="A27" t="str">
            <v xml:space="preserve"> GAS NATURAL BAN, S.A.</v>
          </cell>
        </row>
        <row r="28">
          <cell r="A28" t="str">
            <v xml:space="preserve"> GAS NATURAL CANTABRIA SDG S.A.</v>
          </cell>
        </row>
        <row r="29">
          <cell r="A29" t="str">
            <v xml:space="preserve"> GAS NATURAL CASTILLA-LEÓN, S.A.</v>
          </cell>
        </row>
        <row r="30">
          <cell r="A30" t="str">
            <v xml:space="preserve"> GAS NATURAL COLOMBIA, S.A.</v>
          </cell>
        </row>
        <row r="31">
          <cell r="A31" t="str">
            <v xml:space="preserve"> GAS NATURAL COMERCIALIZADORA S.A.</v>
          </cell>
        </row>
        <row r="32">
          <cell r="A32" t="str">
            <v xml:space="preserve"> GAS NATURAL ELECTRICIDAD SDG S.A.</v>
          </cell>
        </row>
        <row r="33">
          <cell r="A33" t="str">
            <v xml:space="preserve"> GAS NATURAL EXTREMADURA, S.A.</v>
          </cell>
        </row>
        <row r="34">
          <cell r="A34" t="str">
            <v xml:space="preserve"> GAS NATURAL FINANCE B.V.</v>
          </cell>
        </row>
        <row r="35">
          <cell r="A35" t="str">
            <v xml:space="preserve"> GAS NATURAL INFORMÁTICA, S.A.</v>
          </cell>
        </row>
        <row r="36">
          <cell r="A36" t="str">
            <v xml:space="preserve"> GAS NATURAL INTERNACIONAL SDG, S.A.</v>
          </cell>
        </row>
        <row r="37">
          <cell r="A37" t="str">
            <v xml:space="preserve"> GAS NATURAL LA CORUÑA, S.A.</v>
          </cell>
        </row>
        <row r="38">
          <cell r="A38" t="str">
            <v xml:space="preserve"> GAS NATURAL LATINOAMERICANA, S.A.</v>
          </cell>
        </row>
        <row r="39">
          <cell r="A39" t="str">
            <v xml:space="preserve"> GAS NATURAL MEXICO, S.A. DE C.V.</v>
          </cell>
        </row>
        <row r="40">
          <cell r="A40" t="str">
            <v xml:space="preserve"> GAS NATURAL MURCIA SDG S.A.</v>
          </cell>
        </row>
        <row r="41">
          <cell r="A41" t="str">
            <v xml:space="preserve"> GAS NATURAL S.A. ESP.</v>
          </cell>
        </row>
        <row r="42">
          <cell r="A42" t="str">
            <v xml:space="preserve"> GAS NATUREL GESTION</v>
          </cell>
        </row>
        <row r="43">
          <cell r="A43" t="str">
            <v xml:space="preserve"> GAS NATURAL SERVICIOS SDG, S.A.</v>
          </cell>
        </row>
        <row r="44">
          <cell r="A44" t="str">
            <v xml:space="preserve"> GAS NAVARRA, S.A.</v>
          </cell>
        </row>
        <row r="45">
          <cell r="A45" t="str">
            <v xml:space="preserve"> GAS RIOJA, S.A.</v>
          </cell>
        </row>
        <row r="46">
          <cell r="A46" t="str">
            <v xml:space="preserve"> GASODUCTO AL-ANDALUS,S.A.</v>
          </cell>
        </row>
        <row r="47">
          <cell r="A47" t="str">
            <v xml:space="preserve"> GASODUCTO EXTREMADURA,S.A.</v>
          </cell>
        </row>
        <row r="48">
          <cell r="A48" t="str">
            <v xml:space="preserve"> GASORIENTE S.A. E.S.P.</v>
          </cell>
        </row>
        <row r="49">
          <cell r="A49" t="str">
            <v xml:space="preserve"> HOLDING GAS NATURAL, S.A.</v>
          </cell>
        </row>
        <row r="50">
          <cell r="A50" t="str">
            <v xml:space="preserve"> IBERLINK IBÉRICA, S.A.</v>
          </cell>
        </row>
        <row r="51">
          <cell r="A51" t="str">
            <v xml:space="preserve"> INVERGAS</v>
          </cell>
        </row>
        <row r="52">
          <cell r="A52" t="str">
            <v xml:space="preserve"> KROMSCHROEDER, S.A.</v>
          </cell>
        </row>
        <row r="53">
          <cell r="A53" t="str">
            <v xml:space="preserve"> LA ENERGÍA, S.A.</v>
          </cell>
        </row>
        <row r="54">
          <cell r="A54" t="str">
            <v xml:space="preserve"> LA PROPAGADORA DEL GAS, S.A.</v>
          </cell>
        </row>
        <row r="55">
          <cell r="A55" t="str">
            <v xml:space="preserve"> METRAGAZ</v>
          </cell>
        </row>
        <row r="56">
          <cell r="A56" t="str">
            <v xml:space="preserve"> SAGANE</v>
          </cell>
        </row>
        <row r="57">
          <cell r="A57" t="str">
            <v xml:space="preserve"> SERVICONFORT ARGENTINA, S.A.</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row r="6">
          <cell r="A6" t="str">
            <v xml:space="preserve"> AG. EN. HOSPITAL GERMANS TRIAS I PUJOL</v>
          </cell>
        </row>
      </sheetData>
      <sheetData sheetId="17"/>
      <sheetData sheetId="18"/>
      <sheetData sheetId="19"/>
      <sheetData sheetId="20" refreshError="1"/>
      <sheetData sheetId="21">
        <row r="6">
          <cell r="A6">
            <v>0</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efreshError="1"/>
      <sheetData sheetId="36" refreshError="1"/>
      <sheetData sheetId="37"/>
      <sheetData sheetId="38"/>
      <sheetData sheetId="39"/>
      <sheetData sheetId="40"/>
      <sheetData sheetId="41"/>
      <sheetData sheetId="42"/>
      <sheetData sheetId="43"/>
      <sheetData sheetId="44"/>
      <sheetData sheetId="45">
        <row r="6">
          <cell r="A6">
            <v>0</v>
          </cell>
        </row>
      </sheetData>
      <sheetData sheetId="46"/>
      <sheetData sheetId="47"/>
      <sheetData sheetId="48"/>
      <sheetData sheetId="49"/>
      <sheetData sheetId="50"/>
      <sheetData sheetId="51"/>
      <sheetData sheetId="52"/>
      <sheetData sheetId="53"/>
      <sheetData sheetId="54"/>
      <sheetData sheetId="55">
        <row r="6">
          <cell r="A6">
            <v>0</v>
          </cell>
        </row>
      </sheetData>
      <sheetData sheetId="5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ación"/>
      <sheetName val="Libor"/>
      <sheetName val="DTF"/>
      <sheetName val="Hoja1"/>
      <sheetName val="COMPENSACIONES"/>
      <sheetName val="Hoja2"/>
      <sheetName val="ACUMULADOS"/>
      <sheetName val="1. Presentación"/>
      <sheetName val="110000. Portada"/>
      <sheetName val="BASE"/>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menteras"/>
      <sheetName val="0tras"/>
      <sheetName val="Vr.-ARGOS"/>
      <sheetName val="Vr.-CARIBE"/>
      <sheetName val="Vr.-CAIRO"/>
      <sheetName val="Vr.-NARE"/>
      <sheetName val="Vr.-VALLE"/>
      <sheetName val="Vr.-COLCLINKER"/>
      <sheetName val="Vr.-RIOCLARO"/>
      <sheetName val="Vr.-TOLCEMENTO"/>
      <sheetName val="TOTAL GRUPO"/>
      <sheetName val="INVERGPO"/>
      <sheetName val="A JUNIO2000"/>
      <sheetName val="septmbre00"/>
      <sheetName val="DICIEMBRE"/>
      <sheetName val="MARZO-01"/>
      <sheetName val="Junio-01"/>
      <sheetName val="SEP-01"/>
      <sheetName val="DIC-01"/>
      <sheetName val="Mar-02-Actualizar sobre este"/>
      <sheetName val="Jun-02-no actualizar"/>
      <sheetName val="Agosto"/>
      <sheetName val="SEPT. 30.02"/>
      <sheetName val="Energ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7">
          <cell r="AF7">
            <v>540958434.21695995</v>
          </cell>
        </row>
        <row r="8">
          <cell r="AF8">
            <v>241799904.07949999</v>
          </cell>
        </row>
        <row r="9">
          <cell r="AF9">
            <v>225743747.66940001</v>
          </cell>
        </row>
        <row r="10">
          <cell r="AF10">
            <v>203089101.99944001</v>
          </cell>
        </row>
        <row r="11">
          <cell r="AF11">
            <v>186070040.62151998</v>
          </cell>
        </row>
        <row r="24">
          <cell r="B24" t="str">
            <v xml:space="preserve">TOLCEMENTO </v>
          </cell>
          <cell r="F24">
            <v>28483612</v>
          </cell>
          <cell r="G24">
            <v>40843015974</v>
          </cell>
          <cell r="H24">
            <v>71.210000236253222</v>
          </cell>
          <cell r="O24">
            <v>4003686</v>
          </cell>
          <cell r="P24">
            <v>1434940000</v>
          </cell>
          <cell r="Q24">
            <v>10.009351377412518</v>
          </cell>
          <cell r="AA24">
            <v>32487298</v>
          </cell>
          <cell r="AB24">
            <v>42277955974</v>
          </cell>
          <cell r="AC24">
            <v>81.219351613665737</v>
          </cell>
          <cell r="AD24">
            <v>39999455</v>
          </cell>
          <cell r="AE24">
            <v>2547.0800000014042</v>
          </cell>
          <cell r="AF24">
            <v>82747746.989885613</v>
          </cell>
        </row>
        <row r="25">
          <cell r="B25" t="str">
            <v>CORPORACIÓN DE CEMENTO ANDINO S.A.</v>
          </cell>
          <cell r="F25">
            <v>33423008</v>
          </cell>
          <cell r="G25">
            <v>41533003144</v>
          </cell>
          <cell r="H25">
            <v>80</v>
          </cell>
          <cell r="AA25">
            <v>33423008</v>
          </cell>
          <cell r="AB25">
            <v>41533003144</v>
          </cell>
          <cell r="AC25">
            <v>80</v>
          </cell>
          <cell r="AD25">
            <v>41778760</v>
          </cell>
          <cell r="AE25">
            <v>2186.3829001676922</v>
          </cell>
          <cell r="AF25">
            <v>73075493.163367987</v>
          </cell>
        </row>
        <row r="26">
          <cell r="B26" t="str">
            <v>VALLE CEMENT INVESTMENT</v>
          </cell>
          <cell r="O26">
            <v>1</v>
          </cell>
          <cell r="P26">
            <v>43636630000</v>
          </cell>
          <cell r="Q26">
            <v>100</v>
          </cell>
          <cell r="AA26">
            <v>1</v>
          </cell>
          <cell r="AB26">
            <v>43636630000</v>
          </cell>
          <cell r="AC26">
            <v>100</v>
          </cell>
          <cell r="AD26">
            <v>1</v>
          </cell>
          <cell r="AE26">
            <v>66223912</v>
          </cell>
          <cell r="AF26">
            <v>66223912</v>
          </cell>
        </row>
        <row r="27">
          <cell r="B27" t="str">
            <v>BANCOLOMBIA S.A.</v>
          </cell>
          <cell r="C27">
            <v>24375687</v>
          </cell>
          <cell r="D27">
            <v>7433119936</v>
          </cell>
          <cell r="E27">
            <v>7.1894310820651537</v>
          </cell>
          <cell r="L27">
            <v>752657</v>
          </cell>
          <cell r="M27">
            <v>3401144920</v>
          </cell>
          <cell r="N27">
            <v>0.22199069219808709</v>
          </cell>
          <cell r="O27">
            <v>29658125</v>
          </cell>
          <cell r="P27">
            <v>32736470000</v>
          </cell>
          <cell r="Q27">
            <v>8.7474476395587786</v>
          </cell>
          <cell r="AA27">
            <v>54786469</v>
          </cell>
          <cell r="AB27">
            <v>43570734856</v>
          </cell>
          <cell r="AC27">
            <v>16.158869413822018</v>
          </cell>
          <cell r="AD27">
            <v>339048900</v>
          </cell>
          <cell r="AE27">
            <v>1057.42</v>
          </cell>
          <cell r="AF27">
            <v>57932308.04998</v>
          </cell>
        </row>
        <row r="28">
          <cell r="B28" t="str">
            <v>C O N A V I</v>
          </cell>
          <cell r="C28">
            <v>305333930</v>
          </cell>
          <cell r="D28">
            <v>479649994</v>
          </cell>
          <cell r="E28">
            <v>7.5418959326300925</v>
          </cell>
          <cell r="I28">
            <v>210117338</v>
          </cell>
          <cell r="J28">
            <v>31793089535</v>
          </cell>
          <cell r="K28">
            <v>5.1900000004495492</v>
          </cell>
          <cell r="AA28">
            <v>515451268</v>
          </cell>
          <cell r="AB28">
            <v>32272739529</v>
          </cell>
          <cell r="AC28">
            <v>12.731895933079642</v>
          </cell>
          <cell r="AD28">
            <v>4048503622</v>
          </cell>
          <cell r="AE28">
            <v>100</v>
          </cell>
          <cell r="AF28">
            <v>51545126.799999997</v>
          </cell>
        </row>
        <row r="29">
          <cell r="B29" t="str">
            <v>CIA. NACIONAL DE CHOCOLATES S.A.</v>
          </cell>
          <cell r="C29">
            <v>3198802</v>
          </cell>
          <cell r="D29">
            <v>2880329910</v>
          </cell>
          <cell r="E29">
            <v>3.6912681898527393</v>
          </cell>
          <cell r="I29">
            <v>289263</v>
          </cell>
          <cell r="J29">
            <v>468255551</v>
          </cell>
          <cell r="K29">
            <v>0.33379599937769605</v>
          </cell>
          <cell r="L29">
            <v>710202</v>
          </cell>
          <cell r="M29">
            <v>4758353400</v>
          </cell>
          <cell r="N29">
            <v>0.81953995619916298</v>
          </cell>
          <cell r="O29">
            <v>1851296</v>
          </cell>
          <cell r="P29">
            <v>1773730000</v>
          </cell>
          <cell r="Q29">
            <v>2.1363091666197582</v>
          </cell>
          <cell r="AA29">
            <v>6049563</v>
          </cell>
          <cell r="AB29">
            <v>9880668861</v>
          </cell>
          <cell r="AC29">
            <v>6.9809133120493563</v>
          </cell>
          <cell r="AD29">
            <v>86658618</v>
          </cell>
          <cell r="AE29">
            <v>7063.02</v>
          </cell>
          <cell r="AF29">
            <v>42728184.460260004</v>
          </cell>
        </row>
        <row r="30">
          <cell r="B30" t="str">
            <v>CEMENTOS PAZ DEL RIO S.A.</v>
          </cell>
          <cell r="C30">
            <v>24124594</v>
          </cell>
          <cell r="D30">
            <v>18565624578</v>
          </cell>
          <cell r="E30">
            <v>20.103828333333336</v>
          </cell>
          <cell r="F30">
            <v>218564</v>
          </cell>
          <cell r="G30">
            <v>44961296</v>
          </cell>
          <cell r="H30">
            <v>0.18213666666666667</v>
          </cell>
          <cell r="I30">
            <v>2985397</v>
          </cell>
          <cell r="J30">
            <v>1860367965</v>
          </cell>
          <cell r="K30">
            <v>2.4878308333333337</v>
          </cell>
          <cell r="L30">
            <v>2909476</v>
          </cell>
          <cell r="M30">
            <v>1630130277</v>
          </cell>
          <cell r="N30">
            <v>2.4245633333333334</v>
          </cell>
          <cell r="O30">
            <v>1320993</v>
          </cell>
          <cell r="P30">
            <v>2132920000</v>
          </cell>
          <cell r="Q30">
            <v>1.1008275000000001</v>
          </cell>
          <cell r="R30">
            <v>3000000</v>
          </cell>
          <cell r="T30">
            <v>2.5</v>
          </cell>
          <cell r="U30">
            <v>5137782</v>
          </cell>
          <cell r="V30">
            <v>1121118400</v>
          </cell>
          <cell r="W30">
            <v>4.281485</v>
          </cell>
          <cell r="AA30">
            <v>39696806</v>
          </cell>
          <cell r="AB30">
            <v>25355122516</v>
          </cell>
          <cell r="AC30">
            <v>33.080671666666674</v>
          </cell>
          <cell r="AD30">
            <v>120000000</v>
          </cell>
          <cell r="AE30">
            <v>839.48</v>
          </cell>
          <cell r="AF30">
            <v>33324674.700880002</v>
          </cell>
        </row>
        <row r="31">
          <cell r="B31" t="str">
            <v>COLCARIBE HOLDING</v>
          </cell>
          <cell r="F31">
            <v>85000</v>
          </cell>
          <cell r="G31">
            <v>72963466168</v>
          </cell>
          <cell r="H31">
            <v>29.310344827586203</v>
          </cell>
          <cell r="R31">
            <v>75000</v>
          </cell>
          <cell r="S31">
            <v>7780750000</v>
          </cell>
          <cell r="T31">
            <v>25.862068965517242</v>
          </cell>
          <cell r="AA31">
            <v>160000</v>
          </cell>
          <cell r="AB31">
            <v>80744216168</v>
          </cell>
          <cell r="AC31">
            <v>55.172413793103445</v>
          </cell>
          <cell r="AD31">
            <v>290000</v>
          </cell>
          <cell r="AE31">
            <v>181479.67095294117</v>
          </cell>
          <cell r="AF31">
            <v>29036747.352470588</v>
          </cell>
        </row>
        <row r="32">
          <cell r="B32" t="str">
            <v>CIA. COMERCIAL. FABRICATO y TEJICONDOR</v>
          </cell>
          <cell r="C32">
            <v>963662</v>
          </cell>
          <cell r="E32">
            <v>13.217396409011226</v>
          </cell>
          <cell r="O32">
            <v>1029659</v>
          </cell>
          <cell r="Q32">
            <v>14.122598140329378</v>
          </cell>
          <cell r="AA32">
            <v>1993321</v>
          </cell>
          <cell r="AB32">
            <v>0</v>
          </cell>
          <cell r="AC32">
            <v>27.339994549340602</v>
          </cell>
          <cell r="AD32">
            <v>7290861</v>
          </cell>
          <cell r="AE32">
            <v>13622.23</v>
          </cell>
          <cell r="AF32">
            <v>27153477.125829998</v>
          </cell>
        </row>
        <row r="33">
          <cell r="B33" t="str">
            <v>C.I. FABRICATO y TEJICONDOR</v>
          </cell>
          <cell r="C33">
            <v>963663</v>
          </cell>
          <cell r="E33">
            <v>13.675742881621023</v>
          </cell>
          <cell r="O33">
            <v>1029661</v>
          </cell>
          <cell r="Q33">
            <v>14.612347979773826</v>
          </cell>
          <cell r="AA33">
            <v>1993324</v>
          </cell>
          <cell r="AB33">
            <v>0</v>
          </cell>
          <cell r="AC33">
            <v>28.288090861394849</v>
          </cell>
          <cell r="AD33">
            <v>7046513</v>
          </cell>
          <cell r="AE33">
            <v>13164.59</v>
          </cell>
          <cell r="AF33">
            <v>26241293.197159998</v>
          </cell>
        </row>
        <row r="34">
          <cell r="B34" t="str">
            <v>CARBONES DEL CARIBE S.A.</v>
          </cell>
          <cell r="C34">
            <v>260000</v>
          </cell>
          <cell r="D34">
            <v>32613768972</v>
          </cell>
          <cell r="E34">
            <v>3.4666666666666663</v>
          </cell>
          <cell r="F34">
            <v>3670000</v>
          </cell>
          <cell r="G34">
            <v>21864849123</v>
          </cell>
          <cell r="H34">
            <v>48.933333333333337</v>
          </cell>
          <cell r="I34">
            <v>325000</v>
          </cell>
          <cell r="J34">
            <v>3549836130</v>
          </cell>
          <cell r="K34">
            <v>4.3333333333333339</v>
          </cell>
          <cell r="L34">
            <v>28887</v>
          </cell>
          <cell r="M34">
            <v>331908587</v>
          </cell>
          <cell r="N34">
            <v>0.38516</v>
          </cell>
          <cell r="O34">
            <v>258580</v>
          </cell>
          <cell r="P34">
            <v>4614990000</v>
          </cell>
          <cell r="Q34">
            <v>3.4477333333333333</v>
          </cell>
          <cell r="X34">
            <v>0</v>
          </cell>
          <cell r="AA34">
            <v>4542467</v>
          </cell>
          <cell r="AB34">
            <v>62975352812</v>
          </cell>
          <cell r="AC34">
            <v>60.566226666666672</v>
          </cell>
          <cell r="AD34">
            <v>7500000</v>
          </cell>
          <cell r="AE34">
            <v>4989.3</v>
          </cell>
          <cell r="AF34">
            <v>22663730.603100002</v>
          </cell>
        </row>
        <row r="35">
          <cell r="B35" t="str">
            <v>CARTON DE COLOMBIA S.A.</v>
          </cell>
          <cell r="I35">
            <v>1279159</v>
          </cell>
          <cell r="J35">
            <v>1738991498</v>
          </cell>
          <cell r="K35">
            <v>1.1683509486547461</v>
          </cell>
          <cell r="O35">
            <v>2380225</v>
          </cell>
          <cell r="P35">
            <v>3043010000</v>
          </cell>
          <cell r="Q35">
            <v>2.174036329152</v>
          </cell>
          <cell r="AA35">
            <v>3659384</v>
          </cell>
          <cell r="AB35">
            <v>4782001498</v>
          </cell>
          <cell r="AC35">
            <v>3.342387277806746</v>
          </cell>
          <cell r="AD35">
            <v>109484141</v>
          </cell>
          <cell r="AE35">
            <v>5310.02</v>
          </cell>
          <cell r="AF35">
            <v>19431402.227680001</v>
          </cell>
        </row>
        <row r="36">
          <cell r="B36" t="str">
            <v>LA CEMENTO NACIONAL C.A. (ECUADOR)</v>
          </cell>
          <cell r="C36">
            <v>24105</v>
          </cell>
          <cell r="D36">
            <v>6437167036</v>
          </cell>
          <cell r="E36">
            <v>1.7583583111882066</v>
          </cell>
          <cell r="O36">
            <v>21186</v>
          </cell>
          <cell r="P36">
            <v>7878220000</v>
          </cell>
          <cell r="Q36">
            <v>1.545429544942267</v>
          </cell>
          <cell r="AA36">
            <v>45291</v>
          </cell>
          <cell r="AB36">
            <v>14315387036</v>
          </cell>
          <cell r="AC36">
            <v>3.3037878561304739</v>
          </cell>
          <cell r="AD36">
            <v>1370881</v>
          </cell>
          <cell r="AE36">
            <v>419112.09105994605</v>
          </cell>
          <cell r="AF36">
            <v>18982005.716196019</v>
          </cell>
        </row>
        <row r="37">
          <cell r="B37" t="str">
            <v>CONCRETOS DEL CAUCA LTDA</v>
          </cell>
          <cell r="C37">
            <v>105323</v>
          </cell>
          <cell r="D37">
            <v>724440000</v>
          </cell>
          <cell r="E37">
            <v>10.019034863003208</v>
          </cell>
          <cell r="O37">
            <v>915434</v>
          </cell>
          <cell r="P37">
            <v>11142810000</v>
          </cell>
          <cell r="Q37">
            <v>87.082262761015912</v>
          </cell>
          <cell r="AA37">
            <v>1020757</v>
          </cell>
          <cell r="AB37">
            <v>11867250000</v>
          </cell>
          <cell r="AC37">
            <v>97.101297624019125</v>
          </cell>
          <cell r="AD37">
            <v>1051229</v>
          </cell>
          <cell r="AE37">
            <v>16483.587257467581</v>
          </cell>
          <cell r="AF37">
            <v>16825737.078170836</v>
          </cell>
        </row>
        <row r="38">
          <cell r="B38" t="str">
            <v>CIA. DE CEMENTO ARGOS S.A.</v>
          </cell>
          <cell r="R38">
            <v>3244408</v>
          </cell>
          <cell r="S38">
            <v>1166591173</v>
          </cell>
          <cell r="T38">
            <v>1.9931782408086598</v>
          </cell>
          <cell r="AA38">
            <v>3244408</v>
          </cell>
          <cell r="AB38">
            <v>1166591173</v>
          </cell>
          <cell r="AC38">
            <v>1.9931782408086598</v>
          </cell>
          <cell r="AD38">
            <v>162775608</v>
          </cell>
          <cell r="AE38">
            <v>4802</v>
          </cell>
          <cell r="AF38">
            <v>15579647.216</v>
          </cell>
        </row>
        <row r="39">
          <cell r="B39" t="str">
            <v>CORP. FINANCIERA DEL VALLE S.A.</v>
          </cell>
          <cell r="O39">
            <v>1814087</v>
          </cell>
          <cell r="P39">
            <v>8623990000</v>
          </cell>
          <cell r="Q39">
            <v>2.9636519314936516</v>
          </cell>
          <cell r="AA39">
            <v>1814087</v>
          </cell>
          <cell r="AB39">
            <v>8623990000</v>
          </cell>
          <cell r="AC39">
            <v>2.9636519314936516</v>
          </cell>
          <cell r="AD39">
            <v>61211203</v>
          </cell>
          <cell r="AE39">
            <v>6680.3</v>
          </cell>
          <cell r="AF39">
            <v>12118645.3861</v>
          </cell>
        </row>
        <row r="40">
          <cell r="B40" t="str">
            <v>COMERCIALIZA. INT. DEL MAR CARIBE S.A.</v>
          </cell>
          <cell r="F40">
            <v>949750</v>
          </cell>
          <cell r="G40">
            <v>3192682230</v>
          </cell>
          <cell r="H40">
            <v>37.99</v>
          </cell>
          <cell r="R40">
            <v>949750</v>
          </cell>
          <cell r="S40">
            <v>3852758412</v>
          </cell>
          <cell r="T40">
            <v>37.99</v>
          </cell>
          <cell r="X40">
            <v>250000</v>
          </cell>
          <cell r="Z40">
            <v>10</v>
          </cell>
          <cell r="AA40">
            <v>2149500</v>
          </cell>
          <cell r="AB40">
            <v>7045440642</v>
          </cell>
          <cell r="AC40">
            <v>85.98</v>
          </cell>
          <cell r="AD40">
            <v>2500000</v>
          </cell>
          <cell r="AE40">
            <v>5311.32</v>
          </cell>
          <cell r="AF40">
            <v>11416682.34</v>
          </cell>
        </row>
        <row r="41">
          <cell r="B41" t="str">
            <v>CORFINSURA</v>
          </cell>
          <cell r="C41">
            <v>4108220</v>
          </cell>
          <cell r="D41">
            <v>7716777019</v>
          </cell>
          <cell r="E41">
            <v>3.1700388541225699</v>
          </cell>
          <cell r="F41">
            <v>1082537</v>
          </cell>
          <cell r="G41">
            <v>632377707</v>
          </cell>
          <cell r="H41">
            <v>0.83532146550702857</v>
          </cell>
          <cell r="I41">
            <v>2866396</v>
          </cell>
          <cell r="J41">
            <v>4465347340</v>
          </cell>
          <cell r="K41">
            <v>2.2118062546069877</v>
          </cell>
          <cell r="O41">
            <v>1276092</v>
          </cell>
          <cell r="P41">
            <v>1701420000</v>
          </cell>
          <cell r="Q41">
            <v>0.98467492525594513</v>
          </cell>
          <cell r="AA41">
            <v>9333245</v>
          </cell>
          <cell r="AB41">
            <v>14515922066</v>
          </cell>
          <cell r="AC41">
            <v>7.2018414994925308</v>
          </cell>
          <cell r="AD41">
            <v>129595257</v>
          </cell>
          <cell r="AE41">
            <v>1126.94</v>
          </cell>
          <cell r="AF41">
            <v>10518007.120300001</v>
          </cell>
        </row>
        <row r="42">
          <cell r="B42" t="str">
            <v>CÍA. DE INVERSIONES LA MERCED S.A.</v>
          </cell>
          <cell r="C42">
            <v>39620</v>
          </cell>
          <cell r="D42">
            <v>102016726</v>
          </cell>
          <cell r="E42">
            <v>33.016666666666666</v>
          </cell>
          <cell r="AA42">
            <v>39620</v>
          </cell>
          <cell r="AB42">
            <v>102016726</v>
          </cell>
          <cell r="AC42">
            <v>33.016666666666666</v>
          </cell>
          <cell r="AD42">
            <v>120000</v>
          </cell>
          <cell r="AE42">
            <v>252259.59</v>
          </cell>
          <cell r="AF42">
            <v>9994524.9557999987</v>
          </cell>
        </row>
        <row r="43">
          <cell r="B43" t="str">
            <v>ENKA DE COLOMBIA S.A.</v>
          </cell>
          <cell r="O43">
            <v>107921200</v>
          </cell>
          <cell r="P43">
            <v>1226170000</v>
          </cell>
          <cell r="Q43">
            <v>2.4589252160488333</v>
          </cell>
          <cell r="AA43">
            <v>107921200</v>
          </cell>
          <cell r="AB43">
            <v>1226170000</v>
          </cell>
          <cell r="AC43">
            <v>2.4589252160488333</v>
          </cell>
          <cell r="AD43">
            <v>4388958204</v>
          </cell>
          <cell r="AE43">
            <v>85.98</v>
          </cell>
          <cell r="AF43">
            <v>9279064.7760000005</v>
          </cell>
        </row>
        <row r="44">
          <cell r="B44" t="str">
            <v>CIA. COLOMBIANA DE TABACO S.A.</v>
          </cell>
          <cell r="C44">
            <v>1155559</v>
          </cell>
          <cell r="D44">
            <v>251329615</v>
          </cell>
          <cell r="E44">
            <v>1.8186324434355892</v>
          </cell>
          <cell r="L44">
            <v>184636</v>
          </cell>
          <cell r="M44">
            <v>592681560</v>
          </cell>
          <cell r="N44">
            <v>0.29058232407533791</v>
          </cell>
          <cell r="O44">
            <v>1786002</v>
          </cell>
          <cell r="P44">
            <v>3267150000</v>
          </cell>
          <cell r="Q44">
            <v>2.8108311053272477</v>
          </cell>
          <cell r="AA44">
            <v>3126197</v>
          </cell>
          <cell r="AB44">
            <v>4111161175</v>
          </cell>
          <cell r="AC44">
            <v>4.9200458728381751</v>
          </cell>
          <cell r="AD44">
            <v>63539997</v>
          </cell>
          <cell r="AE44">
            <v>2537.06</v>
          </cell>
          <cell r="AF44">
            <v>7931349.3608200001</v>
          </cell>
        </row>
        <row r="45">
          <cell r="B45" t="str">
            <v>CONCRETOS DE OCCIDENTE LTDA</v>
          </cell>
          <cell r="C45">
            <v>200550</v>
          </cell>
          <cell r="D45">
            <v>329897838</v>
          </cell>
          <cell r="E45">
            <v>10</v>
          </cell>
          <cell r="O45">
            <v>802200</v>
          </cell>
          <cell r="P45">
            <v>1423550000</v>
          </cell>
          <cell r="Q45">
            <v>40</v>
          </cell>
          <cell r="AA45">
            <v>1002750</v>
          </cell>
          <cell r="AB45">
            <v>1753447838</v>
          </cell>
          <cell r="AC45">
            <v>50</v>
          </cell>
          <cell r="AD45">
            <v>2005500</v>
          </cell>
          <cell r="AE45">
            <v>7714.918972824732</v>
          </cell>
          <cell r="AF45">
            <v>7736135</v>
          </cell>
        </row>
        <row r="46">
          <cell r="B46" t="str">
            <v>CANTERAS  y  DERIVADOS S.A.</v>
          </cell>
          <cell r="C46">
            <v>30000</v>
          </cell>
          <cell r="D46">
            <v>10760552443</v>
          </cell>
          <cell r="E46">
            <v>50</v>
          </cell>
          <cell r="AA46">
            <v>30000</v>
          </cell>
          <cell r="AB46">
            <v>10760552443</v>
          </cell>
          <cell r="AC46">
            <v>50</v>
          </cell>
          <cell r="AD46">
            <v>60000</v>
          </cell>
          <cell r="AE46">
            <v>213442.58</v>
          </cell>
          <cell r="AF46">
            <v>6403277.4000000004</v>
          </cell>
        </row>
        <row r="47">
          <cell r="B47" t="str">
            <v>PROMOTORA DE HOTELES  MEDELLÍN S.A.</v>
          </cell>
          <cell r="C47">
            <v>4219382</v>
          </cell>
          <cell r="D47">
            <v>556743886</v>
          </cell>
          <cell r="E47">
            <v>20.852246422278125</v>
          </cell>
          <cell r="AA47">
            <v>4219382</v>
          </cell>
          <cell r="AB47">
            <v>556743886</v>
          </cell>
          <cell r="AC47">
            <v>20.852246422278125</v>
          </cell>
          <cell r="AD47">
            <v>20234664</v>
          </cell>
          <cell r="AE47">
            <v>1504.67</v>
          </cell>
          <cell r="AF47">
            <v>6348777.5139400009</v>
          </cell>
        </row>
        <row r="48">
          <cell r="B48" t="str">
            <v xml:space="preserve">METROCONCRETO </v>
          </cell>
          <cell r="I48">
            <v>10257</v>
          </cell>
          <cell r="J48">
            <v>76207504</v>
          </cell>
          <cell r="K48">
            <v>0.54732986589697907</v>
          </cell>
          <cell r="L48">
            <v>129838</v>
          </cell>
          <cell r="M48">
            <v>27234743</v>
          </cell>
          <cell r="N48">
            <v>6.9283625941632021</v>
          </cell>
          <cell r="U48">
            <v>824938</v>
          </cell>
          <cell r="V48">
            <v>3991621711</v>
          </cell>
          <cell r="W48">
            <v>44.020006328685007</v>
          </cell>
          <cell r="AA48">
            <v>965033</v>
          </cell>
          <cell r="AB48">
            <v>4095063958</v>
          </cell>
          <cell r="AC48">
            <v>51.495698788745187</v>
          </cell>
          <cell r="AD48">
            <v>1874007</v>
          </cell>
          <cell r="AE48">
            <v>6392.786199288902</v>
          </cell>
          <cell r="AF48">
            <v>6169249.6442583669</v>
          </cell>
        </row>
        <row r="49">
          <cell r="B49" t="str">
            <v>HOTEL DE PEREIRA S.A.</v>
          </cell>
          <cell r="C49">
            <v>2266468</v>
          </cell>
          <cell r="D49">
            <v>1853807379</v>
          </cell>
          <cell r="E49">
            <v>31.708924610879901</v>
          </cell>
          <cell r="AA49">
            <v>2266468</v>
          </cell>
          <cell r="AB49">
            <v>1853807379</v>
          </cell>
          <cell r="AC49">
            <v>31.708924610879901</v>
          </cell>
          <cell r="AD49">
            <v>7147729</v>
          </cell>
          <cell r="AE49">
            <v>2444.9</v>
          </cell>
          <cell r="AF49">
            <v>5541287.6131999996</v>
          </cell>
        </row>
        <row r="50">
          <cell r="B50" t="str">
            <v>TEMPO LTDA</v>
          </cell>
          <cell r="L50">
            <v>200</v>
          </cell>
          <cell r="M50">
            <v>14671159</v>
          </cell>
          <cell r="N50">
            <v>20</v>
          </cell>
          <cell r="O50">
            <v>400</v>
          </cell>
          <cell r="P50">
            <v>1716470000</v>
          </cell>
          <cell r="Q50">
            <v>40</v>
          </cell>
          <cell r="AA50">
            <v>600</v>
          </cell>
          <cell r="AB50">
            <v>1731141159</v>
          </cell>
          <cell r="AC50">
            <v>60</v>
          </cell>
          <cell r="AD50">
            <v>1000</v>
          </cell>
          <cell r="AE50">
            <v>7584495</v>
          </cell>
          <cell r="AF50">
            <v>4550697</v>
          </cell>
        </row>
        <row r="51">
          <cell r="B51" t="str">
            <v>TLC  INTERNATIONAL  LDC</v>
          </cell>
          <cell r="C51">
            <v>1</v>
          </cell>
          <cell r="D51">
            <v>2853387050</v>
          </cell>
          <cell r="E51">
            <v>5</v>
          </cell>
          <cell r="AA51">
            <v>1</v>
          </cell>
          <cell r="AB51">
            <v>2853387050</v>
          </cell>
          <cell r="AC51">
            <v>5</v>
          </cell>
          <cell r="AD51">
            <v>20</v>
          </cell>
          <cell r="AE51">
            <v>4379872.1679999996</v>
          </cell>
          <cell r="AF51">
            <v>4379872.1679999996</v>
          </cell>
        </row>
        <row r="52">
          <cell r="B52" t="str">
            <v>C O L O M B A T E S</v>
          </cell>
          <cell r="C52">
            <v>2402</v>
          </cell>
          <cell r="D52">
            <v>16230042</v>
          </cell>
          <cell r="E52">
            <v>4.3987034629259982</v>
          </cell>
          <cell r="F52">
            <v>75</v>
          </cell>
          <cell r="G52">
            <v>602525</v>
          </cell>
          <cell r="H52">
            <v>0.13734502902558282</v>
          </cell>
          <cell r="I52">
            <v>24</v>
          </cell>
          <cell r="J52">
            <v>166043</v>
          </cell>
          <cell r="K52">
            <v>4.3950409288186498E-2</v>
          </cell>
          <cell r="L52">
            <v>246</v>
          </cell>
          <cell r="M52">
            <v>138990507</v>
          </cell>
          <cell r="N52">
            <v>0.45049169520391164</v>
          </cell>
          <cell r="O52">
            <v>3126</v>
          </cell>
          <cell r="P52">
            <v>25540000</v>
          </cell>
          <cell r="Q52">
            <v>5.7245408097862907</v>
          </cell>
          <cell r="X52">
            <v>32</v>
          </cell>
          <cell r="Z52">
            <v>5.8600545717581998E-2</v>
          </cell>
          <cell r="AA52">
            <v>5905</v>
          </cell>
          <cell r="AB52">
            <v>181529117</v>
          </cell>
          <cell r="AC52">
            <v>10.813631951947551</v>
          </cell>
          <cell r="AD52">
            <v>54607</v>
          </cell>
          <cell r="AE52">
            <v>695775.03</v>
          </cell>
          <cell r="AF52">
            <v>4108551.5521499999</v>
          </cell>
        </row>
        <row r="53">
          <cell r="B53" t="str">
            <v>COLOIDALES S.A.</v>
          </cell>
          <cell r="I53">
            <v>215928</v>
          </cell>
          <cell r="J53">
            <v>3371482590</v>
          </cell>
          <cell r="K53">
            <v>24.209997578192972</v>
          </cell>
          <cell r="L53">
            <v>18804</v>
          </cell>
          <cell r="M53">
            <v>226100000</v>
          </cell>
          <cell r="N53">
            <v>2.1083175616888066</v>
          </cell>
          <cell r="O53">
            <v>222258</v>
          </cell>
          <cell r="P53">
            <v>4309430000</v>
          </cell>
          <cell r="Q53">
            <v>24.919721581888471</v>
          </cell>
          <cell r="AA53">
            <v>456990</v>
          </cell>
          <cell r="AB53">
            <v>7907012590</v>
          </cell>
          <cell r="AC53">
            <v>51.23803672177025</v>
          </cell>
          <cell r="AD53">
            <v>891896</v>
          </cell>
          <cell r="AE53">
            <v>8488</v>
          </cell>
          <cell r="AF53">
            <v>3878931.12</v>
          </cell>
        </row>
        <row r="54">
          <cell r="B54" t="str">
            <v>INDUSTRIAS ALIMENTICIAS NOEL S.A.</v>
          </cell>
          <cell r="O54">
            <v>1004366</v>
          </cell>
          <cell r="P54">
            <v>2481850000</v>
          </cell>
          <cell r="Q54">
            <v>1.6833366322976595</v>
          </cell>
          <cell r="AA54">
            <v>1004366</v>
          </cell>
          <cell r="AB54">
            <v>2481850000</v>
          </cell>
          <cell r="AC54">
            <v>1.6833366322976595</v>
          </cell>
          <cell r="AD54">
            <v>59665190</v>
          </cell>
          <cell r="AE54">
            <v>3750</v>
          </cell>
          <cell r="AF54">
            <v>3766372.5</v>
          </cell>
        </row>
        <row r="55">
          <cell r="B55" t="str">
            <v xml:space="preserve">SETAS COLOMBIANAS S.A. </v>
          </cell>
          <cell r="C55">
            <v>41418101</v>
          </cell>
          <cell r="D55">
            <v>3747266152</v>
          </cell>
          <cell r="E55">
            <v>16.139607993499936</v>
          </cell>
          <cell r="O55">
            <v>4743825</v>
          </cell>
          <cell r="P55">
            <v>1520280000</v>
          </cell>
          <cell r="Q55">
            <v>1.8485510933918683</v>
          </cell>
          <cell r="AA55">
            <v>46161926</v>
          </cell>
          <cell r="AB55">
            <v>5267546152</v>
          </cell>
          <cell r="AC55">
            <v>17.988159086891805</v>
          </cell>
          <cell r="AD55">
            <v>256623959</v>
          </cell>
          <cell r="AE55">
            <v>75.209999999999994</v>
          </cell>
          <cell r="AF55">
            <v>3471838.4544599997</v>
          </cell>
        </row>
        <row r="56">
          <cell r="B56" t="str">
            <v>D I C E N T E  LTDA.</v>
          </cell>
          <cell r="I56">
            <v>400</v>
          </cell>
          <cell r="J56">
            <v>90111376</v>
          </cell>
          <cell r="K56">
            <v>40</v>
          </cell>
          <cell r="L56">
            <v>100</v>
          </cell>
          <cell r="M56">
            <v>22060178</v>
          </cell>
          <cell r="N56">
            <v>10</v>
          </cell>
          <cell r="O56">
            <v>400</v>
          </cell>
          <cell r="P56">
            <v>92920000</v>
          </cell>
          <cell r="Q56">
            <v>40</v>
          </cell>
          <cell r="AA56">
            <v>900</v>
          </cell>
          <cell r="AB56">
            <v>205091554</v>
          </cell>
          <cell r="AC56">
            <v>90</v>
          </cell>
          <cell r="AD56">
            <v>1000</v>
          </cell>
          <cell r="AE56">
            <v>3744716</v>
          </cell>
          <cell r="AF56">
            <v>3370244.4</v>
          </cell>
        </row>
        <row r="57">
          <cell r="B57" t="str">
            <v>OCCIDENTAL DE EMPAQUES  S.A.</v>
          </cell>
          <cell r="C57">
            <v>1075500</v>
          </cell>
          <cell r="D57">
            <v>134612672</v>
          </cell>
          <cell r="E57">
            <v>49.791666666666664</v>
          </cell>
          <cell r="I57">
            <v>2250</v>
          </cell>
          <cell r="J57">
            <v>2222598</v>
          </cell>
          <cell r="K57">
            <v>0.10416666666666667</v>
          </cell>
          <cell r="L57">
            <v>2250</v>
          </cell>
          <cell r="M57">
            <v>3019520</v>
          </cell>
          <cell r="N57">
            <v>0.10416666666666667</v>
          </cell>
          <cell r="AA57">
            <v>1080000</v>
          </cell>
          <cell r="AB57">
            <v>139854790</v>
          </cell>
          <cell r="AC57">
            <v>49.999999999999993</v>
          </cell>
          <cell r="AD57">
            <v>2160000</v>
          </cell>
          <cell r="AE57">
            <v>2820.56</v>
          </cell>
          <cell r="AF57">
            <v>3046204.8</v>
          </cell>
        </row>
        <row r="58">
          <cell r="B58" t="str">
            <v>PROYECTO ENERGÉTICO DEL CAUCA S.A..</v>
          </cell>
          <cell r="O58">
            <v>20776</v>
          </cell>
          <cell r="Q58">
            <v>2.0775999999999999</v>
          </cell>
          <cell r="AA58">
            <v>20776</v>
          </cell>
          <cell r="AB58">
            <v>0</v>
          </cell>
          <cell r="AC58">
            <v>2.0775999999999999</v>
          </cell>
          <cell r="AD58">
            <v>1000000</v>
          </cell>
          <cell r="AE58">
            <v>144397.3815941471</v>
          </cell>
          <cell r="AF58">
            <v>3000000</v>
          </cell>
        </row>
        <row r="59">
          <cell r="B59" t="str">
            <v>ETERNIT PACIFICO  S.A.</v>
          </cell>
          <cell r="C59">
            <v>806313</v>
          </cell>
          <cell r="D59">
            <v>1099479189</v>
          </cell>
          <cell r="E59">
            <v>15.976949020622671</v>
          </cell>
          <cell r="AA59">
            <v>806313</v>
          </cell>
          <cell r="AB59">
            <v>1099479189</v>
          </cell>
          <cell r="AC59">
            <v>15.976949020622671</v>
          </cell>
          <cell r="AD59">
            <v>5046727</v>
          </cell>
          <cell r="AE59">
            <v>3701.07</v>
          </cell>
          <cell r="AF59">
            <v>2984220.8549100002</v>
          </cell>
        </row>
        <row r="60">
          <cell r="B60" t="str">
            <v>REFORESTADORA EL GUASIMO</v>
          </cell>
          <cell r="C60">
            <v>21433751</v>
          </cell>
          <cell r="D60">
            <v>225279169</v>
          </cell>
          <cell r="E60">
            <v>7.5756098579926006</v>
          </cell>
          <cell r="K60">
            <v>0</v>
          </cell>
          <cell r="L60">
            <v>1761591</v>
          </cell>
          <cell r="M60">
            <v>4615047</v>
          </cell>
          <cell r="N60">
            <v>0.62262205739681498</v>
          </cell>
          <cell r="AA60">
            <v>23195342</v>
          </cell>
          <cell r="AB60">
            <v>229894216</v>
          </cell>
          <cell r="AC60">
            <v>8.1982319153894156</v>
          </cell>
          <cell r="AD60">
            <v>282931030</v>
          </cell>
          <cell r="AE60">
            <v>118.37</v>
          </cell>
          <cell r="AF60">
            <v>2745632.6325400001</v>
          </cell>
        </row>
        <row r="61">
          <cell r="B61" t="str">
            <v>REFORESTADORA DEL CARIBE S.A.</v>
          </cell>
          <cell r="F61">
            <v>217244</v>
          </cell>
          <cell r="G61">
            <v>211858747</v>
          </cell>
          <cell r="H61">
            <v>43.448799999999999</v>
          </cell>
          <cell r="R61">
            <v>148000</v>
          </cell>
          <cell r="S61">
            <v>191696345</v>
          </cell>
          <cell r="T61">
            <v>29.599999999999998</v>
          </cell>
          <cell r="X61">
            <v>72443</v>
          </cell>
          <cell r="Z61">
            <v>14.488599999999998</v>
          </cell>
          <cell r="AA61">
            <v>437687</v>
          </cell>
          <cell r="AB61">
            <v>403555092</v>
          </cell>
          <cell r="AC61">
            <v>87.537399999999991</v>
          </cell>
          <cell r="AD61">
            <v>500000</v>
          </cell>
          <cell r="AE61">
            <v>5921.1301531918025</v>
          </cell>
          <cell r="AF61">
            <v>2591601.6933600609</v>
          </cell>
        </row>
        <row r="62">
          <cell r="B62" t="str">
            <v>DISTRIBUÍDORA COL. DE CEMENTO S.A.</v>
          </cell>
          <cell r="F62">
            <v>133067</v>
          </cell>
          <cell r="G62">
            <v>2236821227</v>
          </cell>
          <cell r="H62">
            <v>66.533500000000004</v>
          </cell>
          <cell r="X62">
            <v>66733</v>
          </cell>
          <cell r="Z62">
            <v>33.366500000000002</v>
          </cell>
          <cell r="AA62">
            <v>199800</v>
          </cell>
          <cell r="AB62">
            <v>2236821227</v>
          </cell>
          <cell r="AC62">
            <v>99.9</v>
          </cell>
          <cell r="AD62">
            <v>200000</v>
          </cell>
          <cell r="AE62">
            <v>12505.14</v>
          </cell>
          <cell r="AF62">
            <v>2498526.9720000001</v>
          </cell>
        </row>
        <row r="63">
          <cell r="B63" t="str">
            <v>TRANSATLANTIC CEMENT CARRIER</v>
          </cell>
          <cell r="F63">
            <v>4800</v>
          </cell>
          <cell r="G63">
            <v>527369979</v>
          </cell>
          <cell r="H63">
            <v>48</v>
          </cell>
          <cell r="AA63">
            <v>4800</v>
          </cell>
          <cell r="AB63">
            <v>527369979</v>
          </cell>
          <cell r="AC63">
            <v>48</v>
          </cell>
          <cell r="AD63">
            <v>10000</v>
          </cell>
          <cell r="AE63">
            <v>501552.01583333331</v>
          </cell>
          <cell r="AF63">
            <v>2407449.676</v>
          </cell>
        </row>
        <row r="64">
          <cell r="B64" t="str">
            <v xml:space="preserve">VIAS EN HORMIGON S.A.   </v>
          </cell>
          <cell r="C64">
            <v>638000</v>
          </cell>
          <cell r="D64">
            <v>659145939</v>
          </cell>
          <cell r="E64">
            <v>28.999999999999996</v>
          </cell>
          <cell r="I64">
            <v>638000</v>
          </cell>
          <cell r="J64">
            <v>765633028</v>
          </cell>
          <cell r="K64">
            <v>28.999999999999996</v>
          </cell>
          <cell r="L64">
            <v>220000</v>
          </cell>
          <cell r="M64">
            <v>263104800</v>
          </cell>
          <cell r="N64">
            <v>10</v>
          </cell>
          <cell r="U64">
            <v>638000</v>
          </cell>
          <cell r="V64">
            <v>629601310</v>
          </cell>
          <cell r="W64">
            <v>28.999999999999996</v>
          </cell>
          <cell r="AA64">
            <v>2134000</v>
          </cell>
          <cell r="AB64">
            <v>2317485077</v>
          </cell>
          <cell r="AC64">
            <v>97</v>
          </cell>
          <cell r="AD64">
            <v>2200000</v>
          </cell>
          <cell r="AE64">
            <v>1013.91</v>
          </cell>
          <cell r="AF64">
            <v>2163683.94</v>
          </cell>
        </row>
        <row r="65">
          <cell r="B65" t="str">
            <v>D I S C E M E N T O</v>
          </cell>
          <cell r="F65">
            <v>32500</v>
          </cell>
          <cell r="G65">
            <v>343295773</v>
          </cell>
          <cell r="H65">
            <v>65</v>
          </cell>
          <cell r="L65">
            <v>20</v>
          </cell>
          <cell r="M65">
            <v>73358</v>
          </cell>
          <cell r="N65">
            <v>0.04</v>
          </cell>
          <cell r="X65">
            <v>15000</v>
          </cell>
          <cell r="Z65">
            <v>30</v>
          </cell>
          <cell r="AA65">
            <v>47520</v>
          </cell>
          <cell r="AB65">
            <v>343369131</v>
          </cell>
          <cell r="AC65">
            <v>95.04</v>
          </cell>
          <cell r="AD65">
            <v>50000</v>
          </cell>
          <cell r="AE65">
            <v>43725.7</v>
          </cell>
          <cell r="AF65">
            <v>2077845.2639999997</v>
          </cell>
        </row>
        <row r="66">
          <cell r="B66" t="str">
            <v>PROMOTORA NAL. DE ZONAS FRANCAS S.A.</v>
          </cell>
          <cell r="C66">
            <v>63940688</v>
          </cell>
          <cell r="D66">
            <v>923277448</v>
          </cell>
          <cell r="E66">
            <v>16.7686451487262</v>
          </cell>
          <cell r="O66">
            <v>0</v>
          </cell>
          <cell r="AA66">
            <v>63940688</v>
          </cell>
          <cell r="AB66">
            <v>923277448</v>
          </cell>
          <cell r="AC66">
            <v>16.7686451487262</v>
          </cell>
          <cell r="AD66">
            <v>381310997</v>
          </cell>
          <cell r="AE66">
            <v>26.54</v>
          </cell>
          <cell r="AF66">
            <v>1696985.8595199999</v>
          </cell>
        </row>
        <row r="67">
          <cell r="B67" t="str">
            <v>URBANIZADORA VILLA SANTOS LTDA</v>
          </cell>
          <cell r="F67">
            <v>9000</v>
          </cell>
          <cell r="G67">
            <v>781801221</v>
          </cell>
          <cell r="H67">
            <v>90</v>
          </cell>
          <cell r="AA67">
            <v>9000</v>
          </cell>
          <cell r="AB67">
            <v>781801221</v>
          </cell>
          <cell r="AC67">
            <v>90</v>
          </cell>
          <cell r="AD67">
            <v>10000</v>
          </cell>
          <cell r="AE67">
            <v>176113.63</v>
          </cell>
          <cell r="AF67">
            <v>1585022.67</v>
          </cell>
        </row>
        <row r="68">
          <cell r="B68" t="str">
            <v xml:space="preserve">C O N C R E N A L   </v>
          </cell>
          <cell r="D68">
            <v>0</v>
          </cell>
          <cell r="L68">
            <v>400000</v>
          </cell>
          <cell r="M68">
            <v>1076206578</v>
          </cell>
          <cell r="N68">
            <v>6.666666666666667</v>
          </cell>
          <cell r="O68">
            <v>800000</v>
          </cell>
          <cell r="P68">
            <v>1106300000</v>
          </cell>
          <cell r="Q68">
            <v>13.333333333333334</v>
          </cell>
          <cell r="U68">
            <v>600000</v>
          </cell>
          <cell r="V68">
            <v>50179509</v>
          </cell>
          <cell r="W68">
            <v>10</v>
          </cell>
          <cell r="AA68">
            <v>1800000</v>
          </cell>
          <cell r="AB68">
            <v>2232686087</v>
          </cell>
          <cell r="AC68">
            <v>30</v>
          </cell>
          <cell r="AD68">
            <v>6000000</v>
          </cell>
          <cell r="AE68">
            <v>878.47</v>
          </cell>
          <cell r="AF68">
            <v>1581246</v>
          </cell>
        </row>
        <row r="69">
          <cell r="B69" t="str">
            <v>ANTIOQUIA CELULAR  S.A. - ANCEL</v>
          </cell>
          <cell r="C69">
            <v>471212</v>
          </cell>
          <cell r="D69">
            <v>1376094451</v>
          </cell>
          <cell r="E69">
            <v>3.1306979976533653</v>
          </cell>
          <cell r="AA69">
            <v>471212</v>
          </cell>
          <cell r="AB69">
            <v>1376094451</v>
          </cell>
          <cell r="AC69">
            <v>3.1306979976533653</v>
          </cell>
          <cell r="AD69">
            <v>15051340</v>
          </cell>
          <cell r="AE69">
            <v>3175.11</v>
          </cell>
          <cell r="AF69">
            <v>1496149.9333200001</v>
          </cell>
        </row>
        <row r="70">
          <cell r="B70" t="str">
            <v>C E M C A R</v>
          </cell>
          <cell r="R70">
            <v>202335</v>
          </cell>
          <cell r="S70">
            <v>881425724</v>
          </cell>
          <cell r="T70">
            <v>90.826046361302133</v>
          </cell>
          <cell r="AA70">
            <v>202335</v>
          </cell>
          <cell r="AB70">
            <v>881425724</v>
          </cell>
          <cell r="AC70">
            <v>90.826046361302133</v>
          </cell>
          <cell r="AD70">
            <v>222772</v>
          </cell>
          <cell r="AE70">
            <v>6613.0649022660436</v>
          </cell>
          <cell r="AF70">
            <v>1338054.487</v>
          </cell>
        </row>
        <row r="71">
          <cell r="B71" t="str">
            <v>CANTERAS  DE COLOMBIA S.A.</v>
          </cell>
          <cell r="C71">
            <v>50000</v>
          </cell>
          <cell r="D71">
            <v>54549428</v>
          </cell>
          <cell r="E71">
            <v>50</v>
          </cell>
          <cell r="AA71">
            <v>50000</v>
          </cell>
          <cell r="AB71">
            <v>54549428</v>
          </cell>
          <cell r="AC71">
            <v>50</v>
          </cell>
          <cell r="AD71">
            <v>100000</v>
          </cell>
          <cell r="AE71">
            <v>24188.41</v>
          </cell>
          <cell r="AF71">
            <v>1209420.5</v>
          </cell>
        </row>
        <row r="72">
          <cell r="B72" t="str">
            <v>SUCROMILES S.A.</v>
          </cell>
          <cell r="O72">
            <v>8716</v>
          </cell>
          <cell r="P72">
            <v>55610000</v>
          </cell>
          <cell r="Q72">
            <v>1.3206060606060606</v>
          </cell>
          <cell r="AA72">
            <v>8716</v>
          </cell>
          <cell r="AB72">
            <v>55610000</v>
          </cell>
          <cell r="AC72">
            <v>1.3206060606060606</v>
          </cell>
          <cell r="AD72">
            <v>660000</v>
          </cell>
          <cell r="AE72">
            <v>131219.81</v>
          </cell>
          <cell r="AF72">
            <v>1143711.86396</v>
          </cell>
        </row>
        <row r="73">
          <cell r="B73" t="str">
            <v>TRANSMETANO</v>
          </cell>
          <cell r="C73">
            <v>31764859</v>
          </cell>
          <cell r="D73">
            <v>1347539600</v>
          </cell>
          <cell r="E73">
            <v>2.1665026312589646</v>
          </cell>
          <cell r="AA73">
            <v>31764859</v>
          </cell>
          <cell r="AB73">
            <v>1347539600</v>
          </cell>
          <cell r="AC73">
            <v>2.1665026312589646</v>
          </cell>
          <cell r="AD73">
            <v>1466181418</v>
          </cell>
          <cell r="AE73">
            <v>27.03</v>
          </cell>
          <cell r="AF73">
            <v>858604.13876999996</v>
          </cell>
        </row>
        <row r="74">
          <cell r="B74" t="str">
            <v>PROELECTRICA S.A.</v>
          </cell>
          <cell r="R74">
            <v>25008</v>
          </cell>
          <cell r="S74">
            <v>307151058</v>
          </cell>
          <cell r="T74">
            <v>13.770015197233661</v>
          </cell>
          <cell r="AA74">
            <v>25008</v>
          </cell>
          <cell r="AB74">
            <v>307151058</v>
          </cell>
          <cell r="AC74">
            <v>13.770015197233661</v>
          </cell>
          <cell r="AD74">
            <v>181612</v>
          </cell>
          <cell r="AE74">
            <v>32861.78</v>
          </cell>
          <cell r="AF74">
            <v>821807.39424000005</v>
          </cell>
        </row>
        <row r="75">
          <cell r="B75" t="str">
            <v>SOCIEDAD REGIONAL DE BUENAVENTURA</v>
          </cell>
          <cell r="I75">
            <v>34715</v>
          </cell>
          <cell r="J75">
            <v>26364319</v>
          </cell>
          <cell r="K75">
            <v>0.19800252158763632</v>
          </cell>
          <cell r="L75">
            <v>59002</v>
          </cell>
          <cell r="M75">
            <v>137360463</v>
          </cell>
          <cell r="N75">
            <v>0.33652728730271403</v>
          </cell>
          <cell r="O75">
            <v>176321</v>
          </cell>
          <cell r="P75">
            <v>81547000</v>
          </cell>
          <cell r="Q75">
            <v>1.0056748555049293</v>
          </cell>
          <cell r="AA75">
            <v>270038</v>
          </cell>
          <cell r="AB75">
            <v>245271782</v>
          </cell>
          <cell r="AC75">
            <v>1.5402046643952796</v>
          </cell>
          <cell r="AD75">
            <v>17532605</v>
          </cell>
          <cell r="AE75">
            <v>3020.01</v>
          </cell>
          <cell r="AF75">
            <v>815517.46038000006</v>
          </cell>
        </row>
        <row r="76">
          <cell r="B76" t="str">
            <v>PIEDRAS Y DERIVADOS</v>
          </cell>
          <cell r="C76">
            <v>99868</v>
          </cell>
          <cell r="D76">
            <v>771858924</v>
          </cell>
          <cell r="E76">
            <v>76.947021296267764</v>
          </cell>
          <cell r="L76">
            <v>650</v>
          </cell>
          <cell r="N76">
            <v>0.50081671649150916</v>
          </cell>
          <cell r="U76">
            <v>1663</v>
          </cell>
          <cell r="V76">
            <v>564483</v>
          </cell>
          <cell r="W76">
            <v>1.2813203069621228</v>
          </cell>
          <cell r="AA76">
            <v>102181</v>
          </cell>
          <cell r="AB76">
            <v>772423407</v>
          </cell>
          <cell r="AC76">
            <v>78.729158319721407</v>
          </cell>
          <cell r="AD76">
            <v>129788</v>
          </cell>
          <cell r="AE76">
            <v>6733.75</v>
          </cell>
          <cell r="AF76">
            <v>688061.30874999997</v>
          </cell>
        </row>
        <row r="77">
          <cell r="B77" t="str">
            <v xml:space="preserve">TABLEROS Y MADERAS DE CALDAS S.A. </v>
          </cell>
          <cell r="C77">
            <v>81866333</v>
          </cell>
          <cell r="D77">
            <v>1769370098</v>
          </cell>
          <cell r="E77">
            <v>5.3180679208482795</v>
          </cell>
          <cell r="L77">
            <v>29462347</v>
          </cell>
          <cell r="M77">
            <v>834366909</v>
          </cell>
          <cell r="N77">
            <v>1.9138851920190505</v>
          </cell>
          <cell r="AA77">
            <v>111328680</v>
          </cell>
          <cell r="AB77">
            <v>2603737007</v>
          </cell>
          <cell r="AC77">
            <v>7.2319531128673304</v>
          </cell>
          <cell r="AD77">
            <v>1539399914</v>
          </cell>
          <cell r="AE77">
            <v>6.01</v>
          </cell>
          <cell r="AF77">
            <v>669085.36679999996</v>
          </cell>
        </row>
        <row r="78">
          <cell r="B78" t="str">
            <v>CORP. FINANCIERA COLOMBIANA  S.A.</v>
          </cell>
          <cell r="F78">
            <v>1176367</v>
          </cell>
          <cell r="G78">
            <v>363598916</v>
          </cell>
          <cell r="H78">
            <v>0.6031173737272939</v>
          </cell>
          <cell r="AA78">
            <v>1176367</v>
          </cell>
          <cell r="AB78">
            <v>363598916</v>
          </cell>
          <cell r="AC78">
            <v>0.6031173737272939</v>
          </cell>
          <cell r="AD78">
            <v>195047772</v>
          </cell>
          <cell r="AE78">
            <v>514.0199997109745</v>
          </cell>
          <cell r="AF78">
            <v>604676.16500000004</v>
          </cell>
        </row>
        <row r="79">
          <cell r="B79" t="str">
            <v>PREDIOS DEL SUR</v>
          </cell>
          <cell r="C79">
            <v>401065661</v>
          </cell>
          <cell r="D79">
            <v>484335980</v>
          </cell>
          <cell r="E79">
            <v>5.2186049218975628</v>
          </cell>
          <cell r="AA79">
            <v>401065661</v>
          </cell>
          <cell r="AB79">
            <v>484335980</v>
          </cell>
          <cell r="AC79">
            <v>5.2186049218975628</v>
          </cell>
          <cell r="AD79">
            <v>7685304157</v>
          </cell>
          <cell r="AE79">
            <v>1.43</v>
          </cell>
          <cell r="AF79">
            <v>573523.89523000002</v>
          </cell>
        </row>
        <row r="80">
          <cell r="B80" t="str">
            <v>MERILECTRICA, 1 S.A. &amp; CIA, SCA, ESP.</v>
          </cell>
          <cell r="C80">
            <v>419919</v>
          </cell>
          <cell r="D80">
            <v>277681050</v>
          </cell>
          <cell r="E80">
            <v>4.950027495634</v>
          </cell>
          <cell r="AA80">
            <v>419919</v>
          </cell>
          <cell r="AB80">
            <v>277681050</v>
          </cell>
          <cell r="AC80">
            <v>4.950027495634</v>
          </cell>
          <cell r="AD80">
            <v>8483165</v>
          </cell>
          <cell r="AE80">
            <v>1336.79</v>
          </cell>
          <cell r="AF80">
            <v>561343.52000999998</v>
          </cell>
        </row>
        <row r="81">
          <cell r="B81" t="str">
            <v>CARBONES NECHI  LTDA.</v>
          </cell>
          <cell r="O81">
            <v>29900</v>
          </cell>
          <cell r="P81">
            <v>455990000</v>
          </cell>
          <cell r="Q81">
            <v>46</v>
          </cell>
          <cell r="AA81">
            <v>29900</v>
          </cell>
          <cell r="AB81">
            <v>455990000</v>
          </cell>
          <cell r="AC81">
            <v>46</v>
          </cell>
          <cell r="AD81">
            <v>65000</v>
          </cell>
          <cell r="AE81">
            <v>18755.886287625421</v>
          </cell>
          <cell r="AF81">
            <v>560801.00000000012</v>
          </cell>
        </row>
        <row r="82">
          <cell r="B82" t="str">
            <v xml:space="preserve">S U I N M O B I  L I A R I A </v>
          </cell>
          <cell r="C82">
            <v>5003884</v>
          </cell>
          <cell r="D82">
            <v>2904114036</v>
          </cell>
          <cell r="E82">
            <v>17.705633550844514</v>
          </cell>
          <cell r="AA82">
            <v>5003884</v>
          </cell>
          <cell r="AB82">
            <v>2904114036</v>
          </cell>
          <cell r="AC82">
            <v>17.705633550844514</v>
          </cell>
          <cell r="AD82">
            <v>28261536</v>
          </cell>
          <cell r="AE82">
            <v>102.26</v>
          </cell>
          <cell r="AF82">
            <v>511697.17784000002</v>
          </cell>
        </row>
        <row r="83">
          <cell r="B83" t="str">
            <v>FLOTA FLUVIAL CARBONERA LTDA</v>
          </cell>
          <cell r="F83">
            <v>247745</v>
          </cell>
          <cell r="G83">
            <v>442097095</v>
          </cell>
          <cell r="H83">
            <v>41.290833333333332</v>
          </cell>
          <cell r="X83">
            <v>4510</v>
          </cell>
          <cell r="Z83">
            <v>0.75166666666666659</v>
          </cell>
          <cell r="AA83">
            <v>252255</v>
          </cell>
          <cell r="AB83">
            <v>442097095</v>
          </cell>
          <cell r="AC83">
            <v>42.042499999999997</v>
          </cell>
          <cell r="AD83">
            <v>600000</v>
          </cell>
          <cell r="AE83">
            <v>1886.1599991927183</v>
          </cell>
          <cell r="AF83">
            <v>475793.29059635912</v>
          </cell>
        </row>
        <row r="84">
          <cell r="B84" t="str">
            <v>PROCARBON DE OCCIDENTE</v>
          </cell>
          <cell r="O84">
            <v>1139924</v>
          </cell>
          <cell r="P84">
            <v>397410000</v>
          </cell>
          <cell r="Q84">
            <v>19.405703273824219</v>
          </cell>
          <cell r="AA84">
            <v>1139924</v>
          </cell>
          <cell r="AB84">
            <v>397410000</v>
          </cell>
          <cell r="AC84">
            <v>19.405703273824219</v>
          </cell>
          <cell r="AD84">
            <v>5874170</v>
          </cell>
          <cell r="AE84">
            <v>414.68</v>
          </cell>
          <cell r="AF84">
            <v>472703.68432</v>
          </cell>
        </row>
        <row r="85">
          <cell r="B85" t="str">
            <v>SOC. COL. DE TRANSP. FERROVIARIO  S.A.</v>
          </cell>
          <cell r="C85">
            <v>3330709</v>
          </cell>
          <cell r="D85">
            <v>440453773</v>
          </cell>
          <cell r="E85">
            <v>2.5795680192887689</v>
          </cell>
          <cell r="F85">
            <v>2715000</v>
          </cell>
          <cell r="G85">
            <v>403905064</v>
          </cell>
          <cell r="H85">
            <v>2.1027136181422659</v>
          </cell>
          <cell r="K85">
            <v>0</v>
          </cell>
          <cell r="AA85">
            <v>6045709</v>
          </cell>
          <cell r="AB85">
            <v>844358837</v>
          </cell>
          <cell r="AC85">
            <v>4.6822816374310348</v>
          </cell>
          <cell r="AD85">
            <v>129118867</v>
          </cell>
          <cell r="AE85">
            <v>76.09</v>
          </cell>
          <cell r="AF85">
            <v>460017.99781000003</v>
          </cell>
        </row>
        <row r="86">
          <cell r="B86" t="str">
            <v>SOC. AGREGADOS CALCAREOS  LTDA</v>
          </cell>
          <cell r="L86">
            <v>4000</v>
          </cell>
          <cell r="M86">
            <v>9660094</v>
          </cell>
          <cell r="N86">
            <v>10</v>
          </cell>
          <cell r="O86">
            <v>16400</v>
          </cell>
          <cell r="P86">
            <v>54660000</v>
          </cell>
          <cell r="Q86">
            <v>41</v>
          </cell>
          <cell r="AA86">
            <v>20400</v>
          </cell>
          <cell r="AB86">
            <v>64320094</v>
          </cell>
          <cell r="AC86">
            <v>51</v>
          </cell>
          <cell r="AD86">
            <v>40000</v>
          </cell>
          <cell r="AE86">
            <v>21230.914634146342</v>
          </cell>
          <cell r="AF86">
            <v>433110.6585365854</v>
          </cell>
        </row>
        <row r="87">
          <cell r="B87" t="str">
            <v>CORPORACIÓN FINANCIERA DEL NORTE  S.A.</v>
          </cell>
          <cell r="F87">
            <v>3126483</v>
          </cell>
          <cell r="G87">
            <v>205850865</v>
          </cell>
          <cell r="H87">
            <v>2.5</v>
          </cell>
          <cell r="R87">
            <v>354540</v>
          </cell>
          <cell r="S87">
            <v>32102701</v>
          </cell>
          <cell r="T87">
            <v>0.28349746344374815</v>
          </cell>
          <cell r="AA87">
            <v>3481023</v>
          </cell>
          <cell r="AB87">
            <v>237953566</v>
          </cell>
          <cell r="AC87">
            <v>2.7834974634437479</v>
          </cell>
          <cell r="AD87">
            <v>125059320</v>
          </cell>
          <cell r="AE87">
            <v>116.58303563460925</v>
          </cell>
          <cell r="AF87">
            <v>405828.22845389438</v>
          </cell>
        </row>
        <row r="88">
          <cell r="B88" t="str">
            <v>ETERNIT ATLANTICO S.A.</v>
          </cell>
          <cell r="C88">
            <v>86753</v>
          </cell>
          <cell r="D88">
            <v>8684294</v>
          </cell>
          <cell r="E88">
            <v>1.4394862564098478</v>
          </cell>
          <cell r="AA88">
            <v>86753</v>
          </cell>
          <cell r="AB88">
            <v>8684294</v>
          </cell>
          <cell r="AC88">
            <v>1.4394862564098478</v>
          </cell>
          <cell r="AD88">
            <v>6026664</v>
          </cell>
          <cell r="AE88">
            <v>4331.63</v>
          </cell>
          <cell r="AF88">
            <v>375781.89739</v>
          </cell>
        </row>
        <row r="89">
          <cell r="B89" t="str">
            <v>OTRAS INVERSIONES</v>
          </cell>
          <cell r="AF89">
            <v>3797976.3994258554</v>
          </cell>
        </row>
        <row r="90">
          <cell r="B90" t="str">
            <v>SUBTOTAL</v>
          </cell>
          <cell r="AF90">
            <v>1046250103.3587524</v>
          </cell>
        </row>
        <row r="91">
          <cell r="B91" t="str">
            <v>T O T A L</v>
          </cell>
          <cell r="AF91">
            <v>2572809243.9527526</v>
          </cell>
        </row>
        <row r="92">
          <cell r="B92" t="str">
            <v>(*) VALORIZADAS A VALOR INTRINSECO, SEGÚN CIRCULAR EXTERNA No. 001 DE 1996 DE LA SUPERINTENDENCIA DE VALORES.</v>
          </cell>
        </row>
        <row r="100">
          <cell r="B100" t="str">
            <v>ALMACENES ÉXITO</v>
          </cell>
          <cell r="D100">
            <v>0</v>
          </cell>
          <cell r="O100">
            <v>76975</v>
          </cell>
          <cell r="P100">
            <v>0</v>
          </cell>
          <cell r="Q100">
            <v>4.0451435178820383E-2</v>
          </cell>
          <cell r="AA100">
            <v>76975</v>
          </cell>
          <cell r="AB100">
            <v>0</v>
          </cell>
          <cell r="AC100">
            <v>4.0451435178820383E-2</v>
          </cell>
          <cell r="AD100">
            <v>190289911</v>
          </cell>
          <cell r="AE100">
            <v>4500</v>
          </cell>
          <cell r="AF100">
            <v>346387.5</v>
          </cell>
        </row>
        <row r="101">
          <cell r="B101" t="str">
            <v>INGENIO LA CABAÑA</v>
          </cell>
          <cell r="O101">
            <v>16204</v>
          </cell>
          <cell r="P101">
            <v>1000000000</v>
          </cell>
          <cell r="Q101">
            <v>0.13999999999999999</v>
          </cell>
          <cell r="AA101">
            <v>16204</v>
          </cell>
          <cell r="AB101">
            <v>1000000000</v>
          </cell>
          <cell r="AC101">
            <v>0.13999999999999999</v>
          </cell>
          <cell r="AD101">
            <v>11574285.714285715</v>
          </cell>
          <cell r="AE101">
            <v>15527.59</v>
          </cell>
          <cell r="AF101">
            <v>251609.06836</v>
          </cell>
        </row>
        <row r="102">
          <cell r="B102" t="str">
            <v>ACERIAS PAZ DEL RIO S.A.</v>
          </cell>
          <cell r="O102">
            <v>9006666</v>
          </cell>
          <cell r="P102">
            <v>219780000</v>
          </cell>
          <cell r="Q102">
            <v>9.4555037793220276E-2</v>
          </cell>
          <cell r="AA102">
            <v>9006666</v>
          </cell>
          <cell r="AB102">
            <v>219780000</v>
          </cell>
          <cell r="AC102">
            <v>9.4555037793220276E-2</v>
          </cell>
          <cell r="AD102">
            <v>9525315848</v>
          </cell>
          <cell r="AE102">
            <v>22.31</v>
          </cell>
          <cell r="AF102">
            <v>200938.71845999997</v>
          </cell>
        </row>
        <row r="103">
          <cell r="B103" t="str">
            <v>PROMOTORA PROY. DEL SUROCCIDENTE S.A.</v>
          </cell>
          <cell r="C103">
            <v>191000</v>
          </cell>
          <cell r="D103">
            <v>274705370</v>
          </cell>
          <cell r="E103">
            <v>20</v>
          </cell>
          <cell r="O103">
            <v>382000</v>
          </cell>
          <cell r="P103">
            <v>706810000</v>
          </cell>
          <cell r="Q103">
            <v>40</v>
          </cell>
          <cell r="AA103">
            <v>573000</v>
          </cell>
          <cell r="AB103">
            <v>981515370</v>
          </cell>
          <cell r="AC103">
            <v>60</v>
          </cell>
          <cell r="AD103">
            <v>955000</v>
          </cell>
          <cell r="AE103">
            <v>342.98</v>
          </cell>
          <cell r="AF103">
            <v>196527.54</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menteras"/>
      <sheetName val="0tras"/>
      <sheetName val="Vr.-ARGOS"/>
      <sheetName val="Vr.-CARIBE"/>
      <sheetName val="Vr.-CAIRO"/>
      <sheetName val="Vr.-NARE"/>
      <sheetName val="Vr.-VALLE"/>
      <sheetName val="Vr.-COLCLINKER"/>
      <sheetName val="Vr.-RIOCLARO"/>
      <sheetName val="Vr.-TOLCEMENTO"/>
      <sheetName val="TOTAL GRUPO"/>
      <sheetName val="INVERGPO"/>
      <sheetName val="A JUNIO2000"/>
      <sheetName val="septmbre00"/>
      <sheetName val="DICIEMBRE"/>
      <sheetName val="MARZO-01"/>
      <sheetName val="Junio-01"/>
      <sheetName val="SEP-01"/>
      <sheetName val="DIC-01"/>
      <sheetName val="Mar-02-Actualizar sobre este"/>
      <sheetName val="Jun-02-no actualizar"/>
      <sheetName val="Agosto"/>
      <sheetName val="SEPT. 30.02"/>
      <sheetName val="Energ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7">
          <cell r="AF7">
            <v>540958434.21695995</v>
          </cell>
        </row>
        <row r="8">
          <cell r="AF8">
            <v>241799904.07949999</v>
          </cell>
        </row>
        <row r="9">
          <cell r="AF9">
            <v>225743747.66940001</v>
          </cell>
        </row>
        <row r="10">
          <cell r="AF10">
            <v>203089101.99944001</v>
          </cell>
        </row>
        <row r="11">
          <cell r="AF11">
            <v>186070040.62151998</v>
          </cell>
        </row>
        <row r="24">
          <cell r="B24" t="str">
            <v xml:space="preserve">TOLCEMENTO </v>
          </cell>
          <cell r="F24">
            <v>28483612</v>
          </cell>
          <cell r="G24">
            <v>40843015974</v>
          </cell>
          <cell r="H24">
            <v>71.210000236253222</v>
          </cell>
          <cell r="O24">
            <v>4003686</v>
          </cell>
          <cell r="P24">
            <v>1434940000</v>
          </cell>
          <cell r="Q24">
            <v>10.009351377412518</v>
          </cell>
          <cell r="AA24">
            <v>32487298</v>
          </cell>
          <cell r="AB24">
            <v>42277955974</v>
          </cell>
          <cell r="AC24">
            <v>81.219351613665737</v>
          </cell>
          <cell r="AD24">
            <v>39999455</v>
          </cell>
          <cell r="AE24">
            <v>2547.0800000014042</v>
          </cell>
          <cell r="AF24">
            <v>82747746.989885613</v>
          </cell>
        </row>
        <row r="25">
          <cell r="B25" t="str">
            <v>CORPORACIÓN DE CEMENTO ANDINO S.A.</v>
          </cell>
          <cell r="F25">
            <v>33423008</v>
          </cell>
          <cell r="G25">
            <v>41533003144</v>
          </cell>
          <cell r="H25">
            <v>80</v>
          </cell>
          <cell r="AA25">
            <v>33423008</v>
          </cell>
          <cell r="AB25">
            <v>41533003144</v>
          </cell>
          <cell r="AC25">
            <v>80</v>
          </cell>
          <cell r="AD25">
            <v>41778760</v>
          </cell>
          <cell r="AE25">
            <v>2186.3829001676922</v>
          </cell>
          <cell r="AF25">
            <v>73075493.163367987</v>
          </cell>
        </row>
        <row r="26">
          <cell r="B26" t="str">
            <v>VALLE CEMENT INVESTMENT</v>
          </cell>
          <cell r="O26">
            <v>1</v>
          </cell>
          <cell r="P26">
            <v>43636630000</v>
          </cell>
          <cell r="Q26">
            <v>100</v>
          </cell>
          <cell r="AA26">
            <v>1</v>
          </cell>
          <cell r="AB26">
            <v>43636630000</v>
          </cell>
          <cell r="AC26">
            <v>100</v>
          </cell>
          <cell r="AD26">
            <v>1</v>
          </cell>
          <cell r="AE26">
            <v>66223912</v>
          </cell>
          <cell r="AF26">
            <v>66223912</v>
          </cell>
        </row>
        <row r="27">
          <cell r="B27" t="str">
            <v>BANCOLOMBIA S.A.</v>
          </cell>
          <cell r="C27">
            <v>24375687</v>
          </cell>
          <cell r="D27">
            <v>7433119936</v>
          </cell>
          <cell r="E27">
            <v>7.1894310820651537</v>
          </cell>
          <cell r="L27">
            <v>752657</v>
          </cell>
          <cell r="M27">
            <v>3401144920</v>
          </cell>
          <cell r="N27">
            <v>0.22199069219808709</v>
          </cell>
          <cell r="O27">
            <v>29658125</v>
          </cell>
          <cell r="P27">
            <v>32736470000</v>
          </cell>
          <cell r="Q27">
            <v>8.7474476395587786</v>
          </cell>
          <cell r="AA27">
            <v>54786469</v>
          </cell>
          <cell r="AB27">
            <v>43570734856</v>
          </cell>
          <cell r="AC27">
            <v>16.158869413822018</v>
          </cell>
          <cell r="AD27">
            <v>339048900</v>
          </cell>
          <cell r="AE27">
            <v>1057.42</v>
          </cell>
          <cell r="AF27">
            <v>57932308.04998</v>
          </cell>
        </row>
        <row r="28">
          <cell r="B28" t="str">
            <v>C O N A V I</v>
          </cell>
          <cell r="C28">
            <v>305333930</v>
          </cell>
          <cell r="D28">
            <v>479649994</v>
          </cell>
          <cell r="E28">
            <v>7.5418959326300925</v>
          </cell>
          <cell r="I28">
            <v>210117338</v>
          </cell>
          <cell r="J28">
            <v>31793089535</v>
          </cell>
          <cell r="K28">
            <v>5.1900000004495492</v>
          </cell>
          <cell r="AA28">
            <v>515451268</v>
          </cell>
          <cell r="AB28">
            <v>32272739529</v>
          </cell>
          <cell r="AC28">
            <v>12.731895933079642</v>
          </cell>
          <cell r="AD28">
            <v>4048503622</v>
          </cell>
          <cell r="AE28">
            <v>100</v>
          </cell>
          <cell r="AF28">
            <v>51545126.799999997</v>
          </cell>
        </row>
        <row r="29">
          <cell r="B29" t="str">
            <v>CIA. NACIONAL DE CHOCOLATES S.A.</v>
          </cell>
          <cell r="C29">
            <v>3198802</v>
          </cell>
          <cell r="D29">
            <v>2880329910</v>
          </cell>
          <cell r="E29">
            <v>3.6912681898527393</v>
          </cell>
          <cell r="I29">
            <v>289263</v>
          </cell>
          <cell r="J29">
            <v>468255551</v>
          </cell>
          <cell r="K29">
            <v>0.33379599937769605</v>
          </cell>
          <cell r="L29">
            <v>710202</v>
          </cell>
          <cell r="M29">
            <v>4758353400</v>
          </cell>
          <cell r="N29">
            <v>0.81953995619916298</v>
          </cell>
          <cell r="O29">
            <v>1851296</v>
          </cell>
          <cell r="P29">
            <v>1773730000</v>
          </cell>
          <cell r="Q29">
            <v>2.1363091666197582</v>
          </cell>
          <cell r="AA29">
            <v>6049563</v>
          </cell>
          <cell r="AB29">
            <v>9880668861</v>
          </cell>
          <cell r="AC29">
            <v>6.9809133120493563</v>
          </cell>
          <cell r="AD29">
            <v>86658618</v>
          </cell>
          <cell r="AE29">
            <v>7063.02</v>
          </cell>
          <cell r="AF29">
            <v>42728184.460260004</v>
          </cell>
        </row>
        <row r="30">
          <cell r="B30" t="str">
            <v>CEMENTOS PAZ DEL RIO S.A.</v>
          </cell>
          <cell r="C30">
            <v>24124594</v>
          </cell>
          <cell r="D30">
            <v>18565624578</v>
          </cell>
          <cell r="E30">
            <v>20.103828333333336</v>
          </cell>
          <cell r="F30">
            <v>218564</v>
          </cell>
          <cell r="G30">
            <v>44961296</v>
          </cell>
          <cell r="H30">
            <v>0.18213666666666667</v>
          </cell>
          <cell r="I30">
            <v>2985397</v>
          </cell>
          <cell r="J30">
            <v>1860367965</v>
          </cell>
          <cell r="K30">
            <v>2.4878308333333337</v>
          </cell>
          <cell r="L30">
            <v>2909476</v>
          </cell>
          <cell r="M30">
            <v>1630130277</v>
          </cell>
          <cell r="N30">
            <v>2.4245633333333334</v>
          </cell>
          <cell r="O30">
            <v>1320993</v>
          </cell>
          <cell r="P30">
            <v>2132920000</v>
          </cell>
          <cell r="Q30">
            <v>1.1008275000000001</v>
          </cell>
          <cell r="R30">
            <v>3000000</v>
          </cell>
          <cell r="T30">
            <v>2.5</v>
          </cell>
          <cell r="U30">
            <v>5137782</v>
          </cell>
          <cell r="V30">
            <v>1121118400</v>
          </cell>
          <cell r="W30">
            <v>4.281485</v>
          </cell>
          <cell r="AA30">
            <v>39696806</v>
          </cell>
          <cell r="AB30">
            <v>25355122516</v>
          </cell>
          <cell r="AC30">
            <v>33.080671666666674</v>
          </cell>
          <cell r="AD30">
            <v>120000000</v>
          </cell>
          <cell r="AE30">
            <v>839.48</v>
          </cell>
          <cell r="AF30">
            <v>33324674.700880002</v>
          </cell>
        </row>
        <row r="31">
          <cell r="B31" t="str">
            <v>COLCARIBE HOLDING</v>
          </cell>
          <cell r="F31">
            <v>85000</v>
          </cell>
          <cell r="G31">
            <v>72963466168</v>
          </cell>
          <cell r="H31">
            <v>29.310344827586203</v>
          </cell>
          <cell r="R31">
            <v>75000</v>
          </cell>
          <cell r="S31">
            <v>7780750000</v>
          </cell>
          <cell r="T31">
            <v>25.862068965517242</v>
          </cell>
          <cell r="AA31">
            <v>160000</v>
          </cell>
          <cell r="AB31">
            <v>80744216168</v>
          </cell>
          <cell r="AC31">
            <v>55.172413793103445</v>
          </cell>
          <cell r="AD31">
            <v>290000</v>
          </cell>
          <cell r="AE31">
            <v>181479.67095294117</v>
          </cell>
          <cell r="AF31">
            <v>29036747.352470588</v>
          </cell>
        </row>
        <row r="32">
          <cell r="B32" t="str">
            <v>CIA. COMERCIAL. FABRICATO y TEJICONDOR</v>
          </cell>
          <cell r="C32">
            <v>963662</v>
          </cell>
          <cell r="E32">
            <v>13.217396409011226</v>
          </cell>
          <cell r="O32">
            <v>1029659</v>
          </cell>
          <cell r="Q32">
            <v>14.122598140329378</v>
          </cell>
          <cell r="AA32">
            <v>1993321</v>
          </cell>
          <cell r="AB32">
            <v>0</v>
          </cell>
          <cell r="AC32">
            <v>27.339994549340602</v>
          </cell>
          <cell r="AD32">
            <v>7290861</v>
          </cell>
          <cell r="AE32">
            <v>13622.23</v>
          </cell>
          <cell r="AF32">
            <v>27153477.125829998</v>
          </cell>
        </row>
        <row r="33">
          <cell r="B33" t="str">
            <v>C.I. FABRICATO y TEJICONDOR</v>
          </cell>
          <cell r="C33">
            <v>963663</v>
          </cell>
          <cell r="E33">
            <v>13.675742881621023</v>
          </cell>
          <cell r="O33">
            <v>1029661</v>
          </cell>
          <cell r="Q33">
            <v>14.612347979773826</v>
          </cell>
          <cell r="AA33">
            <v>1993324</v>
          </cell>
          <cell r="AB33">
            <v>0</v>
          </cell>
          <cell r="AC33">
            <v>28.288090861394849</v>
          </cell>
          <cell r="AD33">
            <v>7046513</v>
          </cell>
          <cell r="AE33">
            <v>13164.59</v>
          </cell>
          <cell r="AF33">
            <v>26241293.197159998</v>
          </cell>
        </row>
        <row r="34">
          <cell r="B34" t="str">
            <v>CARBONES DEL CARIBE S.A.</v>
          </cell>
          <cell r="C34">
            <v>260000</v>
          </cell>
          <cell r="D34">
            <v>32613768972</v>
          </cell>
          <cell r="E34">
            <v>3.4666666666666663</v>
          </cell>
          <cell r="F34">
            <v>3670000</v>
          </cell>
          <cell r="G34">
            <v>21864849123</v>
          </cell>
          <cell r="H34">
            <v>48.933333333333337</v>
          </cell>
          <cell r="I34">
            <v>325000</v>
          </cell>
          <cell r="J34">
            <v>3549836130</v>
          </cell>
          <cell r="K34">
            <v>4.3333333333333339</v>
          </cell>
          <cell r="L34">
            <v>28887</v>
          </cell>
          <cell r="M34">
            <v>331908587</v>
          </cell>
          <cell r="N34">
            <v>0.38516</v>
          </cell>
          <cell r="O34">
            <v>258580</v>
          </cell>
          <cell r="P34">
            <v>4614990000</v>
          </cell>
          <cell r="Q34">
            <v>3.4477333333333333</v>
          </cell>
          <cell r="X34">
            <v>0</v>
          </cell>
          <cell r="AA34">
            <v>4542467</v>
          </cell>
          <cell r="AB34">
            <v>62975352812</v>
          </cell>
          <cell r="AC34">
            <v>60.566226666666672</v>
          </cell>
          <cell r="AD34">
            <v>7500000</v>
          </cell>
          <cell r="AE34">
            <v>4989.3</v>
          </cell>
          <cell r="AF34">
            <v>22663730.603100002</v>
          </cell>
        </row>
        <row r="35">
          <cell r="B35" t="str">
            <v>CARTON DE COLOMBIA S.A.</v>
          </cell>
          <cell r="I35">
            <v>1279159</v>
          </cell>
          <cell r="J35">
            <v>1738991498</v>
          </cell>
          <cell r="K35">
            <v>1.1683509486547461</v>
          </cell>
          <cell r="O35">
            <v>2380225</v>
          </cell>
          <cell r="P35">
            <v>3043010000</v>
          </cell>
          <cell r="Q35">
            <v>2.174036329152</v>
          </cell>
          <cell r="AA35">
            <v>3659384</v>
          </cell>
          <cell r="AB35">
            <v>4782001498</v>
          </cell>
          <cell r="AC35">
            <v>3.342387277806746</v>
          </cell>
          <cell r="AD35">
            <v>109484141</v>
          </cell>
          <cell r="AE35">
            <v>5310.02</v>
          </cell>
          <cell r="AF35">
            <v>19431402.227680001</v>
          </cell>
        </row>
        <row r="36">
          <cell r="B36" t="str">
            <v>LA CEMENTO NACIONAL C.A. (ECUADOR)</v>
          </cell>
          <cell r="C36">
            <v>24105</v>
          </cell>
          <cell r="D36">
            <v>6437167036</v>
          </cell>
          <cell r="E36">
            <v>1.7583583111882066</v>
          </cell>
          <cell r="O36">
            <v>21186</v>
          </cell>
          <cell r="P36">
            <v>7878220000</v>
          </cell>
          <cell r="Q36">
            <v>1.545429544942267</v>
          </cell>
          <cell r="AA36">
            <v>45291</v>
          </cell>
          <cell r="AB36">
            <v>14315387036</v>
          </cell>
          <cell r="AC36">
            <v>3.3037878561304739</v>
          </cell>
          <cell r="AD36">
            <v>1370881</v>
          </cell>
          <cell r="AE36">
            <v>419112.09105994605</v>
          </cell>
          <cell r="AF36">
            <v>18982005.716196019</v>
          </cell>
        </row>
        <row r="37">
          <cell r="B37" t="str">
            <v>CONCRETOS DEL CAUCA LTDA</v>
          </cell>
          <cell r="C37">
            <v>105323</v>
          </cell>
          <cell r="D37">
            <v>724440000</v>
          </cell>
          <cell r="E37">
            <v>10.019034863003208</v>
          </cell>
          <cell r="O37">
            <v>915434</v>
          </cell>
          <cell r="P37">
            <v>11142810000</v>
          </cell>
          <cell r="Q37">
            <v>87.082262761015912</v>
          </cell>
          <cell r="AA37">
            <v>1020757</v>
          </cell>
          <cell r="AB37">
            <v>11867250000</v>
          </cell>
          <cell r="AC37">
            <v>97.101297624019125</v>
          </cell>
          <cell r="AD37">
            <v>1051229</v>
          </cell>
          <cell r="AE37">
            <v>16483.587257467581</v>
          </cell>
          <cell r="AF37">
            <v>16825737.078170836</v>
          </cell>
        </row>
        <row r="38">
          <cell r="B38" t="str">
            <v>CIA. DE CEMENTO ARGOS S.A.</v>
          </cell>
          <cell r="R38">
            <v>3244408</v>
          </cell>
          <cell r="S38">
            <v>1166591173</v>
          </cell>
          <cell r="T38">
            <v>1.9931782408086598</v>
          </cell>
          <cell r="AA38">
            <v>3244408</v>
          </cell>
          <cell r="AB38">
            <v>1166591173</v>
          </cell>
          <cell r="AC38">
            <v>1.9931782408086598</v>
          </cell>
          <cell r="AD38">
            <v>162775608</v>
          </cell>
          <cell r="AE38">
            <v>4802</v>
          </cell>
          <cell r="AF38">
            <v>15579647.216</v>
          </cell>
        </row>
        <row r="39">
          <cell r="B39" t="str">
            <v>CORP. FINANCIERA DEL VALLE S.A.</v>
          </cell>
          <cell r="O39">
            <v>1814087</v>
          </cell>
          <cell r="P39">
            <v>8623990000</v>
          </cell>
          <cell r="Q39">
            <v>2.9636519314936516</v>
          </cell>
          <cell r="AA39">
            <v>1814087</v>
          </cell>
          <cell r="AB39">
            <v>8623990000</v>
          </cell>
          <cell r="AC39">
            <v>2.9636519314936516</v>
          </cell>
          <cell r="AD39">
            <v>61211203</v>
          </cell>
          <cell r="AE39">
            <v>6680.3</v>
          </cell>
          <cell r="AF39">
            <v>12118645.3861</v>
          </cell>
        </row>
        <row r="40">
          <cell r="B40" t="str">
            <v>COMERCIALIZA. INT. DEL MAR CARIBE S.A.</v>
          </cell>
          <cell r="F40">
            <v>949750</v>
          </cell>
          <cell r="G40">
            <v>3192682230</v>
          </cell>
          <cell r="H40">
            <v>37.99</v>
          </cell>
          <cell r="R40">
            <v>949750</v>
          </cell>
          <cell r="S40">
            <v>3852758412</v>
          </cell>
          <cell r="T40">
            <v>37.99</v>
          </cell>
          <cell r="X40">
            <v>250000</v>
          </cell>
          <cell r="Z40">
            <v>10</v>
          </cell>
          <cell r="AA40">
            <v>2149500</v>
          </cell>
          <cell r="AB40">
            <v>7045440642</v>
          </cell>
          <cell r="AC40">
            <v>85.98</v>
          </cell>
          <cell r="AD40">
            <v>2500000</v>
          </cell>
          <cell r="AE40">
            <v>5311.32</v>
          </cell>
          <cell r="AF40">
            <v>11416682.34</v>
          </cell>
        </row>
        <row r="41">
          <cell r="B41" t="str">
            <v>CORFINSURA</v>
          </cell>
          <cell r="C41">
            <v>4108220</v>
          </cell>
          <cell r="D41">
            <v>7716777019</v>
          </cell>
          <cell r="E41">
            <v>3.1700388541225699</v>
          </cell>
          <cell r="F41">
            <v>1082537</v>
          </cell>
          <cell r="G41">
            <v>632377707</v>
          </cell>
          <cell r="H41">
            <v>0.83532146550702857</v>
          </cell>
          <cell r="I41">
            <v>2866396</v>
          </cell>
          <cell r="J41">
            <v>4465347340</v>
          </cell>
          <cell r="K41">
            <v>2.2118062546069877</v>
          </cell>
          <cell r="O41">
            <v>1276092</v>
          </cell>
          <cell r="P41">
            <v>1701420000</v>
          </cell>
          <cell r="Q41">
            <v>0.98467492525594513</v>
          </cell>
          <cell r="AA41">
            <v>9333245</v>
          </cell>
          <cell r="AB41">
            <v>14515922066</v>
          </cell>
          <cell r="AC41">
            <v>7.2018414994925308</v>
          </cell>
          <cell r="AD41">
            <v>129595257</v>
          </cell>
          <cell r="AE41">
            <v>1126.94</v>
          </cell>
          <cell r="AF41">
            <v>10518007.120300001</v>
          </cell>
        </row>
        <row r="42">
          <cell r="B42" t="str">
            <v>CÍA. DE INVERSIONES LA MERCED S.A.</v>
          </cell>
          <cell r="C42">
            <v>39620</v>
          </cell>
          <cell r="D42">
            <v>102016726</v>
          </cell>
          <cell r="E42">
            <v>33.016666666666666</v>
          </cell>
          <cell r="AA42">
            <v>39620</v>
          </cell>
          <cell r="AB42">
            <v>102016726</v>
          </cell>
          <cell r="AC42">
            <v>33.016666666666666</v>
          </cell>
          <cell r="AD42">
            <v>120000</v>
          </cell>
          <cell r="AE42">
            <v>252259.59</v>
          </cell>
          <cell r="AF42">
            <v>9994524.9557999987</v>
          </cell>
        </row>
        <row r="43">
          <cell r="B43" t="str">
            <v>ENKA DE COLOMBIA S.A.</v>
          </cell>
          <cell r="O43">
            <v>107921200</v>
          </cell>
          <cell r="P43">
            <v>1226170000</v>
          </cell>
          <cell r="Q43">
            <v>2.4589252160488333</v>
          </cell>
          <cell r="AA43">
            <v>107921200</v>
          </cell>
          <cell r="AB43">
            <v>1226170000</v>
          </cell>
          <cell r="AC43">
            <v>2.4589252160488333</v>
          </cell>
          <cell r="AD43">
            <v>4388958204</v>
          </cell>
          <cell r="AE43">
            <v>85.98</v>
          </cell>
          <cell r="AF43">
            <v>9279064.7760000005</v>
          </cell>
        </row>
        <row r="44">
          <cell r="B44" t="str">
            <v>CIA. COLOMBIANA DE TABACO S.A.</v>
          </cell>
          <cell r="C44">
            <v>1155559</v>
          </cell>
          <cell r="D44">
            <v>251329615</v>
          </cell>
          <cell r="E44">
            <v>1.8186324434355892</v>
          </cell>
          <cell r="L44">
            <v>184636</v>
          </cell>
          <cell r="M44">
            <v>592681560</v>
          </cell>
          <cell r="N44">
            <v>0.29058232407533791</v>
          </cell>
          <cell r="O44">
            <v>1786002</v>
          </cell>
          <cell r="P44">
            <v>3267150000</v>
          </cell>
          <cell r="Q44">
            <v>2.8108311053272477</v>
          </cell>
          <cell r="AA44">
            <v>3126197</v>
          </cell>
          <cell r="AB44">
            <v>4111161175</v>
          </cell>
          <cell r="AC44">
            <v>4.9200458728381751</v>
          </cell>
          <cell r="AD44">
            <v>63539997</v>
          </cell>
          <cell r="AE44">
            <v>2537.06</v>
          </cell>
          <cell r="AF44">
            <v>7931349.3608200001</v>
          </cell>
        </row>
        <row r="45">
          <cell r="B45" t="str">
            <v>CONCRETOS DE OCCIDENTE LTDA</v>
          </cell>
          <cell r="C45">
            <v>200550</v>
          </cell>
          <cell r="D45">
            <v>329897838</v>
          </cell>
          <cell r="E45">
            <v>10</v>
          </cell>
          <cell r="O45">
            <v>802200</v>
          </cell>
          <cell r="P45">
            <v>1423550000</v>
          </cell>
          <cell r="Q45">
            <v>40</v>
          </cell>
          <cell r="AA45">
            <v>1002750</v>
          </cell>
          <cell r="AB45">
            <v>1753447838</v>
          </cell>
          <cell r="AC45">
            <v>50</v>
          </cell>
          <cell r="AD45">
            <v>2005500</v>
          </cell>
          <cell r="AE45">
            <v>7714.918972824732</v>
          </cell>
          <cell r="AF45">
            <v>7736135</v>
          </cell>
        </row>
        <row r="46">
          <cell r="B46" t="str">
            <v>CANTERAS  y  DERIVADOS S.A.</v>
          </cell>
          <cell r="C46">
            <v>30000</v>
          </cell>
          <cell r="D46">
            <v>10760552443</v>
          </cell>
          <cell r="E46">
            <v>50</v>
          </cell>
          <cell r="AA46">
            <v>30000</v>
          </cell>
          <cell r="AB46">
            <v>10760552443</v>
          </cell>
          <cell r="AC46">
            <v>50</v>
          </cell>
          <cell r="AD46">
            <v>60000</v>
          </cell>
          <cell r="AE46">
            <v>213442.58</v>
          </cell>
          <cell r="AF46">
            <v>6403277.4000000004</v>
          </cell>
        </row>
        <row r="47">
          <cell r="B47" t="str">
            <v>PROMOTORA DE HOTELES  MEDELLÍN S.A.</v>
          </cell>
          <cell r="C47">
            <v>4219382</v>
          </cell>
          <cell r="D47">
            <v>556743886</v>
          </cell>
          <cell r="E47">
            <v>20.852246422278125</v>
          </cell>
          <cell r="AA47">
            <v>4219382</v>
          </cell>
          <cell r="AB47">
            <v>556743886</v>
          </cell>
          <cell r="AC47">
            <v>20.852246422278125</v>
          </cell>
          <cell r="AD47">
            <v>20234664</v>
          </cell>
          <cell r="AE47">
            <v>1504.67</v>
          </cell>
          <cell r="AF47">
            <v>6348777.5139400009</v>
          </cell>
        </row>
        <row r="48">
          <cell r="B48" t="str">
            <v xml:space="preserve">METROCONCRETO </v>
          </cell>
          <cell r="I48">
            <v>10257</v>
          </cell>
          <cell r="J48">
            <v>76207504</v>
          </cell>
          <cell r="K48">
            <v>0.54732986589697907</v>
          </cell>
          <cell r="L48">
            <v>129838</v>
          </cell>
          <cell r="M48">
            <v>27234743</v>
          </cell>
          <cell r="N48">
            <v>6.9283625941632021</v>
          </cell>
          <cell r="U48">
            <v>824938</v>
          </cell>
          <cell r="V48">
            <v>3991621711</v>
          </cell>
          <cell r="W48">
            <v>44.020006328685007</v>
          </cell>
          <cell r="AA48">
            <v>965033</v>
          </cell>
          <cell r="AB48">
            <v>4095063958</v>
          </cell>
          <cell r="AC48">
            <v>51.495698788745187</v>
          </cell>
          <cell r="AD48">
            <v>1874007</v>
          </cell>
          <cell r="AE48">
            <v>6392.786199288902</v>
          </cell>
          <cell r="AF48">
            <v>6169249.6442583669</v>
          </cell>
        </row>
        <row r="49">
          <cell r="B49" t="str">
            <v>HOTEL DE PEREIRA S.A.</v>
          </cell>
          <cell r="C49">
            <v>2266468</v>
          </cell>
          <cell r="D49">
            <v>1853807379</v>
          </cell>
          <cell r="E49">
            <v>31.708924610879901</v>
          </cell>
          <cell r="AA49">
            <v>2266468</v>
          </cell>
          <cell r="AB49">
            <v>1853807379</v>
          </cell>
          <cell r="AC49">
            <v>31.708924610879901</v>
          </cell>
          <cell r="AD49">
            <v>7147729</v>
          </cell>
          <cell r="AE49">
            <v>2444.9</v>
          </cell>
          <cell r="AF49">
            <v>5541287.6131999996</v>
          </cell>
        </row>
        <row r="50">
          <cell r="B50" t="str">
            <v>TEMPO LTDA</v>
          </cell>
          <cell r="L50">
            <v>200</v>
          </cell>
          <cell r="M50">
            <v>14671159</v>
          </cell>
          <cell r="N50">
            <v>20</v>
          </cell>
          <cell r="O50">
            <v>400</v>
          </cell>
          <cell r="P50">
            <v>1716470000</v>
          </cell>
          <cell r="Q50">
            <v>40</v>
          </cell>
          <cell r="AA50">
            <v>600</v>
          </cell>
          <cell r="AB50">
            <v>1731141159</v>
          </cell>
          <cell r="AC50">
            <v>60</v>
          </cell>
          <cell r="AD50">
            <v>1000</v>
          </cell>
          <cell r="AE50">
            <v>7584495</v>
          </cell>
          <cell r="AF50">
            <v>4550697</v>
          </cell>
        </row>
        <row r="51">
          <cell r="B51" t="str">
            <v>TLC  INTERNATIONAL  LDC</v>
          </cell>
          <cell r="C51">
            <v>1</v>
          </cell>
          <cell r="D51">
            <v>2853387050</v>
          </cell>
          <cell r="E51">
            <v>5</v>
          </cell>
          <cell r="AA51">
            <v>1</v>
          </cell>
          <cell r="AB51">
            <v>2853387050</v>
          </cell>
          <cell r="AC51">
            <v>5</v>
          </cell>
          <cell r="AD51">
            <v>20</v>
          </cell>
          <cell r="AE51">
            <v>4379872.1679999996</v>
          </cell>
          <cell r="AF51">
            <v>4379872.1679999996</v>
          </cell>
        </row>
        <row r="52">
          <cell r="B52" t="str">
            <v>C O L O M B A T E S</v>
          </cell>
          <cell r="C52">
            <v>2402</v>
          </cell>
          <cell r="D52">
            <v>16230042</v>
          </cell>
          <cell r="E52">
            <v>4.3987034629259982</v>
          </cell>
          <cell r="F52">
            <v>75</v>
          </cell>
          <cell r="G52">
            <v>602525</v>
          </cell>
          <cell r="H52">
            <v>0.13734502902558282</v>
          </cell>
          <cell r="I52">
            <v>24</v>
          </cell>
          <cell r="J52">
            <v>166043</v>
          </cell>
          <cell r="K52">
            <v>4.3950409288186498E-2</v>
          </cell>
          <cell r="L52">
            <v>246</v>
          </cell>
          <cell r="M52">
            <v>138990507</v>
          </cell>
          <cell r="N52">
            <v>0.45049169520391164</v>
          </cell>
          <cell r="O52">
            <v>3126</v>
          </cell>
          <cell r="P52">
            <v>25540000</v>
          </cell>
          <cell r="Q52">
            <v>5.7245408097862907</v>
          </cell>
          <cell r="X52">
            <v>32</v>
          </cell>
          <cell r="Z52">
            <v>5.8600545717581998E-2</v>
          </cell>
          <cell r="AA52">
            <v>5905</v>
          </cell>
          <cell r="AB52">
            <v>181529117</v>
          </cell>
          <cell r="AC52">
            <v>10.813631951947551</v>
          </cell>
          <cell r="AD52">
            <v>54607</v>
          </cell>
          <cell r="AE52">
            <v>695775.03</v>
          </cell>
          <cell r="AF52">
            <v>4108551.5521499999</v>
          </cell>
        </row>
        <row r="53">
          <cell r="B53" t="str">
            <v>COLOIDALES S.A.</v>
          </cell>
          <cell r="I53">
            <v>215928</v>
          </cell>
          <cell r="J53">
            <v>3371482590</v>
          </cell>
          <cell r="K53">
            <v>24.209997578192972</v>
          </cell>
          <cell r="L53">
            <v>18804</v>
          </cell>
          <cell r="M53">
            <v>226100000</v>
          </cell>
          <cell r="N53">
            <v>2.1083175616888066</v>
          </cell>
          <cell r="O53">
            <v>222258</v>
          </cell>
          <cell r="P53">
            <v>4309430000</v>
          </cell>
          <cell r="Q53">
            <v>24.919721581888471</v>
          </cell>
          <cell r="AA53">
            <v>456990</v>
          </cell>
          <cell r="AB53">
            <v>7907012590</v>
          </cell>
          <cell r="AC53">
            <v>51.23803672177025</v>
          </cell>
          <cell r="AD53">
            <v>891896</v>
          </cell>
          <cell r="AE53">
            <v>8488</v>
          </cell>
          <cell r="AF53">
            <v>3878931.12</v>
          </cell>
        </row>
        <row r="54">
          <cell r="B54" t="str">
            <v>INDUSTRIAS ALIMENTICIAS NOEL S.A.</v>
          </cell>
          <cell r="O54">
            <v>1004366</v>
          </cell>
          <cell r="P54">
            <v>2481850000</v>
          </cell>
          <cell r="Q54">
            <v>1.6833366322976595</v>
          </cell>
          <cell r="AA54">
            <v>1004366</v>
          </cell>
          <cell r="AB54">
            <v>2481850000</v>
          </cell>
          <cell r="AC54">
            <v>1.6833366322976595</v>
          </cell>
          <cell r="AD54">
            <v>59665190</v>
          </cell>
          <cell r="AE54">
            <v>3750</v>
          </cell>
          <cell r="AF54">
            <v>3766372.5</v>
          </cell>
        </row>
        <row r="55">
          <cell r="B55" t="str">
            <v xml:space="preserve">SETAS COLOMBIANAS S.A. </v>
          </cell>
          <cell r="C55">
            <v>41418101</v>
          </cell>
          <cell r="D55">
            <v>3747266152</v>
          </cell>
          <cell r="E55">
            <v>16.139607993499936</v>
          </cell>
          <cell r="O55">
            <v>4743825</v>
          </cell>
          <cell r="P55">
            <v>1520280000</v>
          </cell>
          <cell r="Q55">
            <v>1.8485510933918683</v>
          </cell>
          <cell r="AA55">
            <v>46161926</v>
          </cell>
          <cell r="AB55">
            <v>5267546152</v>
          </cell>
          <cell r="AC55">
            <v>17.988159086891805</v>
          </cell>
          <cell r="AD55">
            <v>256623959</v>
          </cell>
          <cell r="AE55">
            <v>75.209999999999994</v>
          </cell>
          <cell r="AF55">
            <v>3471838.4544599997</v>
          </cell>
        </row>
        <row r="56">
          <cell r="B56" t="str">
            <v>D I C E N T E  LTDA.</v>
          </cell>
          <cell r="I56">
            <v>400</v>
          </cell>
          <cell r="J56">
            <v>90111376</v>
          </cell>
          <cell r="K56">
            <v>40</v>
          </cell>
          <cell r="L56">
            <v>100</v>
          </cell>
          <cell r="M56">
            <v>22060178</v>
          </cell>
          <cell r="N56">
            <v>10</v>
          </cell>
          <cell r="O56">
            <v>400</v>
          </cell>
          <cell r="P56">
            <v>92920000</v>
          </cell>
          <cell r="Q56">
            <v>40</v>
          </cell>
          <cell r="AA56">
            <v>900</v>
          </cell>
          <cell r="AB56">
            <v>205091554</v>
          </cell>
          <cell r="AC56">
            <v>90</v>
          </cell>
          <cell r="AD56">
            <v>1000</v>
          </cell>
          <cell r="AE56">
            <v>3744716</v>
          </cell>
          <cell r="AF56">
            <v>3370244.4</v>
          </cell>
        </row>
        <row r="57">
          <cell r="B57" t="str">
            <v>OCCIDENTAL DE EMPAQUES  S.A.</v>
          </cell>
          <cell r="C57">
            <v>1075500</v>
          </cell>
          <cell r="D57">
            <v>134612672</v>
          </cell>
          <cell r="E57">
            <v>49.791666666666664</v>
          </cell>
          <cell r="I57">
            <v>2250</v>
          </cell>
          <cell r="J57">
            <v>2222598</v>
          </cell>
          <cell r="K57">
            <v>0.10416666666666667</v>
          </cell>
          <cell r="L57">
            <v>2250</v>
          </cell>
          <cell r="M57">
            <v>3019520</v>
          </cell>
          <cell r="N57">
            <v>0.10416666666666667</v>
          </cell>
          <cell r="AA57">
            <v>1080000</v>
          </cell>
          <cell r="AB57">
            <v>139854790</v>
          </cell>
          <cell r="AC57">
            <v>49.999999999999993</v>
          </cell>
          <cell r="AD57">
            <v>2160000</v>
          </cell>
          <cell r="AE57">
            <v>2820.56</v>
          </cell>
          <cell r="AF57">
            <v>3046204.8</v>
          </cell>
        </row>
        <row r="58">
          <cell r="B58" t="str">
            <v>PROYECTO ENERGÉTICO DEL CAUCA S.A..</v>
          </cell>
          <cell r="O58">
            <v>20776</v>
          </cell>
          <cell r="Q58">
            <v>2.0775999999999999</v>
          </cell>
          <cell r="AA58">
            <v>20776</v>
          </cell>
          <cell r="AB58">
            <v>0</v>
          </cell>
          <cell r="AC58">
            <v>2.0775999999999999</v>
          </cell>
          <cell r="AD58">
            <v>1000000</v>
          </cell>
          <cell r="AE58">
            <v>144397.3815941471</v>
          </cell>
          <cell r="AF58">
            <v>3000000</v>
          </cell>
        </row>
        <row r="59">
          <cell r="B59" t="str">
            <v>ETERNIT PACIFICO  S.A.</v>
          </cell>
          <cell r="C59">
            <v>806313</v>
          </cell>
          <cell r="D59">
            <v>1099479189</v>
          </cell>
          <cell r="E59">
            <v>15.976949020622671</v>
          </cell>
          <cell r="AA59">
            <v>806313</v>
          </cell>
          <cell r="AB59">
            <v>1099479189</v>
          </cell>
          <cell r="AC59">
            <v>15.976949020622671</v>
          </cell>
          <cell r="AD59">
            <v>5046727</v>
          </cell>
          <cell r="AE59">
            <v>3701.07</v>
          </cell>
          <cell r="AF59">
            <v>2984220.8549100002</v>
          </cell>
        </row>
        <row r="60">
          <cell r="B60" t="str">
            <v>REFORESTADORA EL GUASIMO</v>
          </cell>
          <cell r="C60">
            <v>21433751</v>
          </cell>
          <cell r="D60">
            <v>225279169</v>
          </cell>
          <cell r="E60">
            <v>7.5756098579926006</v>
          </cell>
          <cell r="K60">
            <v>0</v>
          </cell>
          <cell r="L60">
            <v>1761591</v>
          </cell>
          <cell r="M60">
            <v>4615047</v>
          </cell>
          <cell r="N60">
            <v>0.62262205739681498</v>
          </cell>
          <cell r="AA60">
            <v>23195342</v>
          </cell>
          <cell r="AB60">
            <v>229894216</v>
          </cell>
          <cell r="AC60">
            <v>8.1982319153894156</v>
          </cell>
          <cell r="AD60">
            <v>282931030</v>
          </cell>
          <cell r="AE60">
            <v>118.37</v>
          </cell>
          <cell r="AF60">
            <v>2745632.6325400001</v>
          </cell>
        </row>
        <row r="61">
          <cell r="B61" t="str">
            <v>REFORESTADORA DEL CARIBE S.A.</v>
          </cell>
          <cell r="F61">
            <v>217244</v>
          </cell>
          <cell r="G61">
            <v>211858747</v>
          </cell>
          <cell r="H61">
            <v>43.448799999999999</v>
          </cell>
          <cell r="R61">
            <v>148000</v>
          </cell>
          <cell r="S61">
            <v>191696345</v>
          </cell>
          <cell r="T61">
            <v>29.599999999999998</v>
          </cell>
          <cell r="X61">
            <v>72443</v>
          </cell>
          <cell r="Z61">
            <v>14.488599999999998</v>
          </cell>
          <cell r="AA61">
            <v>437687</v>
          </cell>
          <cell r="AB61">
            <v>403555092</v>
          </cell>
          <cell r="AC61">
            <v>87.537399999999991</v>
          </cell>
          <cell r="AD61">
            <v>500000</v>
          </cell>
          <cell r="AE61">
            <v>5921.1301531918025</v>
          </cell>
          <cell r="AF61">
            <v>2591601.6933600609</v>
          </cell>
        </row>
        <row r="62">
          <cell r="B62" t="str">
            <v>DISTRIBUÍDORA COL. DE CEMENTO S.A.</v>
          </cell>
          <cell r="F62">
            <v>133067</v>
          </cell>
          <cell r="G62">
            <v>2236821227</v>
          </cell>
          <cell r="H62">
            <v>66.533500000000004</v>
          </cell>
          <cell r="X62">
            <v>66733</v>
          </cell>
          <cell r="Z62">
            <v>33.366500000000002</v>
          </cell>
          <cell r="AA62">
            <v>199800</v>
          </cell>
          <cell r="AB62">
            <v>2236821227</v>
          </cell>
          <cell r="AC62">
            <v>99.9</v>
          </cell>
          <cell r="AD62">
            <v>200000</v>
          </cell>
          <cell r="AE62">
            <v>12505.14</v>
          </cell>
          <cell r="AF62">
            <v>2498526.9720000001</v>
          </cell>
        </row>
        <row r="63">
          <cell r="B63" t="str">
            <v>TRANSATLANTIC CEMENT CARRIER</v>
          </cell>
          <cell r="F63">
            <v>4800</v>
          </cell>
          <cell r="G63">
            <v>527369979</v>
          </cell>
          <cell r="H63">
            <v>48</v>
          </cell>
          <cell r="AA63">
            <v>4800</v>
          </cell>
          <cell r="AB63">
            <v>527369979</v>
          </cell>
          <cell r="AC63">
            <v>48</v>
          </cell>
          <cell r="AD63">
            <v>10000</v>
          </cell>
          <cell r="AE63">
            <v>501552.01583333331</v>
          </cell>
          <cell r="AF63">
            <v>2407449.676</v>
          </cell>
        </row>
        <row r="64">
          <cell r="B64" t="str">
            <v xml:space="preserve">VIAS EN HORMIGON S.A.   </v>
          </cell>
          <cell r="C64">
            <v>638000</v>
          </cell>
          <cell r="D64">
            <v>659145939</v>
          </cell>
          <cell r="E64">
            <v>28.999999999999996</v>
          </cell>
          <cell r="I64">
            <v>638000</v>
          </cell>
          <cell r="J64">
            <v>765633028</v>
          </cell>
          <cell r="K64">
            <v>28.999999999999996</v>
          </cell>
          <cell r="L64">
            <v>220000</v>
          </cell>
          <cell r="M64">
            <v>263104800</v>
          </cell>
          <cell r="N64">
            <v>10</v>
          </cell>
          <cell r="U64">
            <v>638000</v>
          </cell>
          <cell r="V64">
            <v>629601310</v>
          </cell>
          <cell r="W64">
            <v>28.999999999999996</v>
          </cell>
          <cell r="AA64">
            <v>2134000</v>
          </cell>
          <cell r="AB64">
            <v>2317485077</v>
          </cell>
          <cell r="AC64">
            <v>97</v>
          </cell>
          <cell r="AD64">
            <v>2200000</v>
          </cell>
          <cell r="AE64">
            <v>1013.91</v>
          </cell>
          <cell r="AF64">
            <v>2163683.94</v>
          </cell>
        </row>
        <row r="65">
          <cell r="B65" t="str">
            <v>D I S C E M E N T O</v>
          </cell>
          <cell r="F65">
            <v>32500</v>
          </cell>
          <cell r="G65">
            <v>343295773</v>
          </cell>
          <cell r="H65">
            <v>65</v>
          </cell>
          <cell r="L65">
            <v>20</v>
          </cell>
          <cell r="M65">
            <v>73358</v>
          </cell>
          <cell r="N65">
            <v>0.04</v>
          </cell>
          <cell r="X65">
            <v>15000</v>
          </cell>
          <cell r="Z65">
            <v>30</v>
          </cell>
          <cell r="AA65">
            <v>47520</v>
          </cell>
          <cell r="AB65">
            <v>343369131</v>
          </cell>
          <cell r="AC65">
            <v>95.04</v>
          </cell>
          <cell r="AD65">
            <v>50000</v>
          </cell>
          <cell r="AE65">
            <v>43725.7</v>
          </cell>
          <cell r="AF65">
            <v>2077845.2639999997</v>
          </cell>
        </row>
        <row r="66">
          <cell r="B66" t="str">
            <v>PROMOTORA NAL. DE ZONAS FRANCAS S.A.</v>
          </cell>
          <cell r="C66">
            <v>63940688</v>
          </cell>
          <cell r="D66">
            <v>923277448</v>
          </cell>
          <cell r="E66">
            <v>16.7686451487262</v>
          </cell>
          <cell r="O66"/>
          <cell r="AA66">
            <v>63940688</v>
          </cell>
          <cell r="AB66">
            <v>923277448</v>
          </cell>
          <cell r="AC66">
            <v>16.7686451487262</v>
          </cell>
          <cell r="AD66">
            <v>381310997</v>
          </cell>
          <cell r="AE66">
            <v>26.54</v>
          </cell>
          <cell r="AF66">
            <v>1696985.8595199999</v>
          </cell>
        </row>
        <row r="67">
          <cell r="B67" t="str">
            <v>URBANIZADORA VILLA SANTOS LTDA</v>
          </cell>
          <cell r="F67">
            <v>9000</v>
          </cell>
          <cell r="G67">
            <v>781801221</v>
          </cell>
          <cell r="H67">
            <v>90</v>
          </cell>
          <cell r="AA67">
            <v>9000</v>
          </cell>
          <cell r="AB67">
            <v>781801221</v>
          </cell>
          <cell r="AC67">
            <v>90</v>
          </cell>
          <cell r="AD67">
            <v>10000</v>
          </cell>
          <cell r="AE67">
            <v>176113.63</v>
          </cell>
          <cell r="AF67">
            <v>1585022.67</v>
          </cell>
        </row>
        <row r="68">
          <cell r="B68" t="str">
            <v xml:space="preserve">C O N C R E N A L   </v>
          </cell>
          <cell r="D68">
            <v>0</v>
          </cell>
          <cell r="L68">
            <v>400000</v>
          </cell>
          <cell r="M68">
            <v>1076206578</v>
          </cell>
          <cell r="N68">
            <v>6.666666666666667</v>
          </cell>
          <cell r="O68">
            <v>800000</v>
          </cell>
          <cell r="P68">
            <v>1106300000</v>
          </cell>
          <cell r="Q68">
            <v>13.333333333333334</v>
          </cell>
          <cell r="U68">
            <v>600000</v>
          </cell>
          <cell r="V68">
            <v>50179509</v>
          </cell>
          <cell r="W68">
            <v>10</v>
          </cell>
          <cell r="AA68">
            <v>1800000</v>
          </cell>
          <cell r="AB68">
            <v>2232686087</v>
          </cell>
          <cell r="AC68">
            <v>30</v>
          </cell>
          <cell r="AD68">
            <v>6000000</v>
          </cell>
          <cell r="AE68">
            <v>878.47</v>
          </cell>
          <cell r="AF68">
            <v>1581246</v>
          </cell>
        </row>
        <row r="69">
          <cell r="B69" t="str">
            <v>ANTIOQUIA CELULAR  S.A. - ANCEL</v>
          </cell>
          <cell r="C69">
            <v>471212</v>
          </cell>
          <cell r="D69">
            <v>1376094451</v>
          </cell>
          <cell r="E69">
            <v>3.1306979976533653</v>
          </cell>
          <cell r="AA69">
            <v>471212</v>
          </cell>
          <cell r="AB69">
            <v>1376094451</v>
          </cell>
          <cell r="AC69">
            <v>3.1306979976533653</v>
          </cell>
          <cell r="AD69">
            <v>15051340</v>
          </cell>
          <cell r="AE69">
            <v>3175.11</v>
          </cell>
          <cell r="AF69">
            <v>1496149.9333200001</v>
          </cell>
        </row>
        <row r="70">
          <cell r="B70" t="str">
            <v>C E M C A R</v>
          </cell>
          <cell r="R70">
            <v>202335</v>
          </cell>
          <cell r="S70">
            <v>881425724</v>
          </cell>
          <cell r="T70">
            <v>90.826046361302133</v>
          </cell>
          <cell r="AA70">
            <v>202335</v>
          </cell>
          <cell r="AB70">
            <v>881425724</v>
          </cell>
          <cell r="AC70">
            <v>90.826046361302133</v>
          </cell>
          <cell r="AD70">
            <v>222772</v>
          </cell>
          <cell r="AE70">
            <v>6613.0649022660436</v>
          </cell>
          <cell r="AF70">
            <v>1338054.487</v>
          </cell>
        </row>
        <row r="71">
          <cell r="B71" t="str">
            <v>CANTERAS  DE COLOMBIA S.A.</v>
          </cell>
          <cell r="C71">
            <v>50000</v>
          </cell>
          <cell r="D71">
            <v>54549428</v>
          </cell>
          <cell r="E71">
            <v>50</v>
          </cell>
          <cell r="AA71">
            <v>50000</v>
          </cell>
          <cell r="AB71">
            <v>54549428</v>
          </cell>
          <cell r="AC71">
            <v>50</v>
          </cell>
          <cell r="AD71">
            <v>100000</v>
          </cell>
          <cell r="AE71">
            <v>24188.41</v>
          </cell>
          <cell r="AF71">
            <v>1209420.5</v>
          </cell>
        </row>
        <row r="72">
          <cell r="B72" t="str">
            <v>SUCROMILES S.A.</v>
          </cell>
          <cell r="O72">
            <v>8716</v>
          </cell>
          <cell r="P72">
            <v>55610000</v>
          </cell>
          <cell r="Q72">
            <v>1.3206060606060606</v>
          </cell>
          <cell r="AA72">
            <v>8716</v>
          </cell>
          <cell r="AB72">
            <v>55610000</v>
          </cell>
          <cell r="AC72">
            <v>1.3206060606060606</v>
          </cell>
          <cell r="AD72">
            <v>660000</v>
          </cell>
          <cell r="AE72">
            <v>131219.81</v>
          </cell>
          <cell r="AF72">
            <v>1143711.86396</v>
          </cell>
        </row>
        <row r="73">
          <cell r="B73" t="str">
            <v>TRANSMETANO</v>
          </cell>
          <cell r="C73">
            <v>31764859</v>
          </cell>
          <cell r="D73">
            <v>1347539600</v>
          </cell>
          <cell r="E73">
            <v>2.1665026312589646</v>
          </cell>
          <cell r="AA73">
            <v>31764859</v>
          </cell>
          <cell r="AB73">
            <v>1347539600</v>
          </cell>
          <cell r="AC73">
            <v>2.1665026312589646</v>
          </cell>
          <cell r="AD73">
            <v>1466181418</v>
          </cell>
          <cell r="AE73">
            <v>27.03</v>
          </cell>
          <cell r="AF73">
            <v>858604.13876999996</v>
          </cell>
        </row>
        <row r="74">
          <cell r="B74" t="str">
            <v>PROELECTRICA S.A.</v>
          </cell>
          <cell r="R74">
            <v>25008</v>
          </cell>
          <cell r="S74">
            <v>307151058</v>
          </cell>
          <cell r="T74">
            <v>13.770015197233661</v>
          </cell>
          <cell r="AA74">
            <v>25008</v>
          </cell>
          <cell r="AB74">
            <v>307151058</v>
          </cell>
          <cell r="AC74">
            <v>13.770015197233661</v>
          </cell>
          <cell r="AD74">
            <v>181612</v>
          </cell>
          <cell r="AE74">
            <v>32861.78</v>
          </cell>
          <cell r="AF74">
            <v>821807.39424000005</v>
          </cell>
        </row>
        <row r="75">
          <cell r="B75" t="str">
            <v>SOCIEDAD REGIONAL DE BUENAVENTURA</v>
          </cell>
          <cell r="I75">
            <v>34715</v>
          </cell>
          <cell r="J75">
            <v>26364319</v>
          </cell>
          <cell r="K75">
            <v>0.19800252158763632</v>
          </cell>
          <cell r="L75">
            <v>59002</v>
          </cell>
          <cell r="M75">
            <v>137360463</v>
          </cell>
          <cell r="N75">
            <v>0.33652728730271403</v>
          </cell>
          <cell r="O75">
            <v>176321</v>
          </cell>
          <cell r="P75">
            <v>81547000</v>
          </cell>
          <cell r="Q75">
            <v>1.0056748555049293</v>
          </cell>
          <cell r="AA75">
            <v>270038</v>
          </cell>
          <cell r="AB75">
            <v>245271782</v>
          </cell>
          <cell r="AC75">
            <v>1.5402046643952796</v>
          </cell>
          <cell r="AD75">
            <v>17532605</v>
          </cell>
          <cell r="AE75">
            <v>3020.01</v>
          </cell>
          <cell r="AF75">
            <v>815517.46038000006</v>
          </cell>
        </row>
        <row r="76">
          <cell r="B76" t="str">
            <v>PIEDRAS Y DERIVADOS</v>
          </cell>
          <cell r="C76">
            <v>99868</v>
          </cell>
          <cell r="D76">
            <v>771858924</v>
          </cell>
          <cell r="E76">
            <v>76.947021296267764</v>
          </cell>
          <cell r="L76">
            <v>650</v>
          </cell>
          <cell r="N76">
            <v>0.50081671649150916</v>
          </cell>
          <cell r="U76">
            <v>1663</v>
          </cell>
          <cell r="V76">
            <v>564483</v>
          </cell>
          <cell r="W76">
            <v>1.2813203069621228</v>
          </cell>
          <cell r="AA76">
            <v>102181</v>
          </cell>
          <cell r="AB76">
            <v>772423407</v>
          </cell>
          <cell r="AC76">
            <v>78.729158319721407</v>
          </cell>
          <cell r="AD76">
            <v>129788</v>
          </cell>
          <cell r="AE76">
            <v>6733.75</v>
          </cell>
          <cell r="AF76">
            <v>688061.30874999997</v>
          </cell>
        </row>
        <row r="77">
          <cell r="B77" t="str">
            <v xml:space="preserve">TABLEROS Y MADERAS DE CALDAS S.A. </v>
          </cell>
          <cell r="C77">
            <v>81866333</v>
          </cell>
          <cell r="D77">
            <v>1769370098</v>
          </cell>
          <cell r="E77">
            <v>5.3180679208482795</v>
          </cell>
          <cell r="L77">
            <v>29462347</v>
          </cell>
          <cell r="M77">
            <v>834366909</v>
          </cell>
          <cell r="N77">
            <v>1.9138851920190505</v>
          </cell>
          <cell r="AA77">
            <v>111328680</v>
          </cell>
          <cell r="AB77">
            <v>2603737007</v>
          </cell>
          <cell r="AC77">
            <v>7.2319531128673304</v>
          </cell>
          <cell r="AD77">
            <v>1539399914</v>
          </cell>
          <cell r="AE77">
            <v>6.01</v>
          </cell>
          <cell r="AF77">
            <v>669085.36679999996</v>
          </cell>
        </row>
        <row r="78">
          <cell r="B78" t="str">
            <v>CORP. FINANCIERA COLOMBIANA  S.A.</v>
          </cell>
          <cell r="F78">
            <v>1176367</v>
          </cell>
          <cell r="G78">
            <v>363598916</v>
          </cell>
          <cell r="H78">
            <v>0.6031173737272939</v>
          </cell>
          <cell r="AA78">
            <v>1176367</v>
          </cell>
          <cell r="AB78">
            <v>363598916</v>
          </cell>
          <cell r="AC78">
            <v>0.6031173737272939</v>
          </cell>
          <cell r="AD78">
            <v>195047772</v>
          </cell>
          <cell r="AE78">
            <v>514.0199997109745</v>
          </cell>
          <cell r="AF78">
            <v>604676.16500000004</v>
          </cell>
        </row>
        <row r="79">
          <cell r="B79" t="str">
            <v>PREDIOS DEL SUR</v>
          </cell>
          <cell r="C79">
            <v>401065661</v>
          </cell>
          <cell r="D79">
            <v>484335980</v>
          </cell>
          <cell r="E79">
            <v>5.2186049218975628</v>
          </cell>
          <cell r="AA79">
            <v>401065661</v>
          </cell>
          <cell r="AB79">
            <v>484335980</v>
          </cell>
          <cell r="AC79">
            <v>5.2186049218975628</v>
          </cell>
          <cell r="AD79">
            <v>7685304157</v>
          </cell>
          <cell r="AE79">
            <v>1.43</v>
          </cell>
          <cell r="AF79">
            <v>573523.89523000002</v>
          </cell>
        </row>
        <row r="80">
          <cell r="B80" t="str">
            <v>MERILECTRICA, 1 S.A. &amp; CIA, SCA, ESP.</v>
          </cell>
          <cell r="C80">
            <v>419919</v>
          </cell>
          <cell r="D80">
            <v>277681050</v>
          </cell>
          <cell r="E80">
            <v>4.950027495634</v>
          </cell>
          <cell r="AA80">
            <v>419919</v>
          </cell>
          <cell r="AB80">
            <v>277681050</v>
          </cell>
          <cell r="AC80">
            <v>4.950027495634</v>
          </cell>
          <cell r="AD80">
            <v>8483165</v>
          </cell>
          <cell r="AE80">
            <v>1336.79</v>
          </cell>
          <cell r="AF80">
            <v>561343.52000999998</v>
          </cell>
        </row>
        <row r="81">
          <cell r="B81" t="str">
            <v>CARBONES NECHI  LTDA.</v>
          </cell>
          <cell r="O81">
            <v>29900</v>
          </cell>
          <cell r="P81">
            <v>455990000</v>
          </cell>
          <cell r="Q81">
            <v>46</v>
          </cell>
          <cell r="AA81">
            <v>29900</v>
          </cell>
          <cell r="AB81">
            <v>455990000</v>
          </cell>
          <cell r="AC81">
            <v>46</v>
          </cell>
          <cell r="AD81">
            <v>65000</v>
          </cell>
          <cell r="AE81">
            <v>18755.886287625421</v>
          </cell>
          <cell r="AF81">
            <v>560801.00000000012</v>
          </cell>
        </row>
        <row r="82">
          <cell r="B82" t="str">
            <v xml:space="preserve">S U I N M O B I  L I A R I A </v>
          </cell>
          <cell r="C82">
            <v>5003884</v>
          </cell>
          <cell r="D82">
            <v>2904114036</v>
          </cell>
          <cell r="E82">
            <v>17.705633550844514</v>
          </cell>
          <cell r="AA82">
            <v>5003884</v>
          </cell>
          <cell r="AB82">
            <v>2904114036</v>
          </cell>
          <cell r="AC82">
            <v>17.705633550844514</v>
          </cell>
          <cell r="AD82">
            <v>28261536</v>
          </cell>
          <cell r="AE82">
            <v>102.26</v>
          </cell>
          <cell r="AF82">
            <v>511697.17784000002</v>
          </cell>
        </row>
        <row r="83">
          <cell r="B83" t="str">
            <v>FLOTA FLUVIAL CARBONERA LTDA</v>
          </cell>
          <cell r="F83">
            <v>247745</v>
          </cell>
          <cell r="G83">
            <v>442097095</v>
          </cell>
          <cell r="H83">
            <v>41.290833333333332</v>
          </cell>
          <cell r="X83">
            <v>4510</v>
          </cell>
          <cell r="Z83">
            <v>0.75166666666666659</v>
          </cell>
          <cell r="AA83">
            <v>252255</v>
          </cell>
          <cell r="AB83">
            <v>442097095</v>
          </cell>
          <cell r="AC83">
            <v>42.042499999999997</v>
          </cell>
          <cell r="AD83">
            <v>600000</v>
          </cell>
          <cell r="AE83">
            <v>1886.1599991927183</v>
          </cell>
          <cell r="AF83">
            <v>475793.29059635912</v>
          </cell>
        </row>
        <row r="84">
          <cell r="B84" t="str">
            <v>PROCARBON DE OCCIDENTE</v>
          </cell>
          <cell r="O84">
            <v>1139924</v>
          </cell>
          <cell r="P84">
            <v>397410000</v>
          </cell>
          <cell r="Q84">
            <v>19.405703273824219</v>
          </cell>
          <cell r="AA84">
            <v>1139924</v>
          </cell>
          <cell r="AB84">
            <v>397410000</v>
          </cell>
          <cell r="AC84">
            <v>19.405703273824219</v>
          </cell>
          <cell r="AD84">
            <v>5874170</v>
          </cell>
          <cell r="AE84">
            <v>414.68</v>
          </cell>
          <cell r="AF84">
            <v>472703.68432</v>
          </cell>
        </row>
        <row r="85">
          <cell r="B85" t="str">
            <v>SOC. COL. DE TRANSP. FERROVIARIO  S.A.</v>
          </cell>
          <cell r="C85">
            <v>3330709</v>
          </cell>
          <cell r="D85">
            <v>440453773</v>
          </cell>
          <cell r="E85">
            <v>2.5795680192887689</v>
          </cell>
          <cell r="F85">
            <v>2715000</v>
          </cell>
          <cell r="G85">
            <v>403905064</v>
          </cell>
          <cell r="H85">
            <v>2.1027136181422659</v>
          </cell>
          <cell r="K85">
            <v>0</v>
          </cell>
          <cell r="AA85">
            <v>6045709</v>
          </cell>
          <cell r="AB85">
            <v>844358837</v>
          </cell>
          <cell r="AC85">
            <v>4.6822816374310348</v>
          </cell>
          <cell r="AD85">
            <v>129118867</v>
          </cell>
          <cell r="AE85">
            <v>76.09</v>
          </cell>
          <cell r="AF85">
            <v>460017.99781000003</v>
          </cell>
        </row>
        <row r="86">
          <cell r="B86" t="str">
            <v>SOC. AGREGADOS CALCAREOS  LTDA</v>
          </cell>
          <cell r="L86">
            <v>4000</v>
          </cell>
          <cell r="M86">
            <v>9660094</v>
          </cell>
          <cell r="N86">
            <v>10</v>
          </cell>
          <cell r="O86">
            <v>16400</v>
          </cell>
          <cell r="P86">
            <v>54660000</v>
          </cell>
          <cell r="Q86">
            <v>41</v>
          </cell>
          <cell r="AA86">
            <v>20400</v>
          </cell>
          <cell r="AB86">
            <v>64320094</v>
          </cell>
          <cell r="AC86">
            <v>51</v>
          </cell>
          <cell r="AD86">
            <v>40000</v>
          </cell>
          <cell r="AE86">
            <v>21230.914634146342</v>
          </cell>
          <cell r="AF86">
            <v>433110.6585365854</v>
          </cell>
        </row>
        <row r="87">
          <cell r="B87" t="str">
            <v>CORPORACIÓN FINANCIERA DEL NORTE  S.A.</v>
          </cell>
          <cell r="F87">
            <v>3126483</v>
          </cell>
          <cell r="G87">
            <v>205850865</v>
          </cell>
          <cell r="H87">
            <v>2.5</v>
          </cell>
          <cell r="R87">
            <v>354540</v>
          </cell>
          <cell r="S87">
            <v>32102701</v>
          </cell>
          <cell r="T87">
            <v>0.28349746344374815</v>
          </cell>
          <cell r="AA87">
            <v>3481023</v>
          </cell>
          <cell r="AB87">
            <v>237953566</v>
          </cell>
          <cell r="AC87">
            <v>2.7834974634437479</v>
          </cell>
          <cell r="AD87">
            <v>125059320</v>
          </cell>
          <cell r="AE87">
            <v>116.58303563460925</v>
          </cell>
          <cell r="AF87">
            <v>405828.22845389438</v>
          </cell>
        </row>
        <row r="88">
          <cell r="B88" t="str">
            <v>ETERNIT ATLANTICO S.A.</v>
          </cell>
          <cell r="C88">
            <v>86753</v>
          </cell>
          <cell r="D88">
            <v>8684294</v>
          </cell>
          <cell r="E88">
            <v>1.4394862564098478</v>
          </cell>
          <cell r="AA88">
            <v>86753</v>
          </cell>
          <cell r="AB88">
            <v>8684294</v>
          </cell>
          <cell r="AC88">
            <v>1.4394862564098478</v>
          </cell>
          <cell r="AD88">
            <v>6026664</v>
          </cell>
          <cell r="AE88">
            <v>4331.63</v>
          </cell>
          <cell r="AF88">
            <v>375781.89739</v>
          </cell>
        </row>
        <row r="89">
          <cell r="B89" t="str">
            <v>OTRAS INVERSIONES</v>
          </cell>
          <cell r="AF89">
            <v>3797976.3994258554</v>
          </cell>
        </row>
        <row r="90">
          <cell r="B90" t="str">
            <v>SUBTOTAL</v>
          </cell>
          <cell r="AF90">
            <v>1046250103.3587524</v>
          </cell>
        </row>
        <row r="91">
          <cell r="B91" t="str">
            <v>T O T A L</v>
          </cell>
          <cell r="AF91">
            <v>2572809243.9527526</v>
          </cell>
        </row>
        <row r="92">
          <cell r="B92" t="str">
            <v>(*) VALORIZADAS A VALOR INTRINSECO, SEGÚN CIRCULAR EXTERNA No. 001 DE 1996 DE LA SUPERINTENDENCIA DE VALORES.</v>
          </cell>
        </row>
        <row r="100">
          <cell r="B100" t="str">
            <v>ALMACENES ÉXITO</v>
          </cell>
          <cell r="D100">
            <v>0</v>
          </cell>
          <cell r="O100">
            <v>76975</v>
          </cell>
          <cell r="P100">
            <v>0</v>
          </cell>
          <cell r="Q100">
            <v>4.0451435178820383E-2</v>
          </cell>
          <cell r="AA100">
            <v>76975</v>
          </cell>
          <cell r="AB100">
            <v>0</v>
          </cell>
          <cell r="AC100">
            <v>4.0451435178820383E-2</v>
          </cell>
          <cell r="AD100">
            <v>190289911</v>
          </cell>
          <cell r="AE100">
            <v>4500</v>
          </cell>
          <cell r="AF100">
            <v>346387.5</v>
          </cell>
        </row>
        <row r="101">
          <cell r="B101" t="str">
            <v>INGENIO LA CABAÑA</v>
          </cell>
          <cell r="O101">
            <v>16204</v>
          </cell>
          <cell r="P101">
            <v>1000000000</v>
          </cell>
          <cell r="Q101">
            <v>0.13999999999999999</v>
          </cell>
          <cell r="AA101">
            <v>16204</v>
          </cell>
          <cell r="AB101">
            <v>1000000000</v>
          </cell>
          <cell r="AC101">
            <v>0.13999999999999999</v>
          </cell>
          <cell r="AD101">
            <v>11574285.714285715</v>
          </cell>
          <cell r="AE101">
            <v>15527.59</v>
          </cell>
          <cell r="AF101">
            <v>251609.06836</v>
          </cell>
        </row>
        <row r="102">
          <cell r="B102" t="str">
            <v>ACERIAS PAZ DEL RIO S.A.</v>
          </cell>
          <cell r="O102">
            <v>9006666</v>
          </cell>
          <cell r="P102">
            <v>219780000</v>
          </cell>
          <cell r="Q102">
            <v>9.4555037793220276E-2</v>
          </cell>
          <cell r="AA102">
            <v>9006666</v>
          </cell>
          <cell r="AB102">
            <v>219780000</v>
          </cell>
          <cell r="AC102">
            <v>9.4555037793220276E-2</v>
          </cell>
          <cell r="AD102">
            <v>9525315848</v>
          </cell>
          <cell r="AE102">
            <v>22.31</v>
          </cell>
          <cell r="AF102">
            <v>200938.71845999997</v>
          </cell>
        </row>
        <row r="103">
          <cell r="B103" t="str">
            <v>PROMOTORA PROY. DEL SUROCCIDENTE S.A.</v>
          </cell>
          <cell r="C103">
            <v>191000</v>
          </cell>
          <cell r="D103">
            <v>274705370</v>
          </cell>
          <cell r="E103">
            <v>20</v>
          </cell>
          <cell r="O103">
            <v>382000</v>
          </cell>
          <cell r="P103">
            <v>706810000</v>
          </cell>
          <cell r="Q103">
            <v>40</v>
          </cell>
          <cell r="AA103">
            <v>573000</v>
          </cell>
          <cell r="AB103">
            <v>981515370</v>
          </cell>
          <cell r="AC103">
            <v>60</v>
          </cell>
          <cell r="AD103">
            <v>955000</v>
          </cell>
          <cell r="AE103">
            <v>342.98</v>
          </cell>
          <cell r="AF103">
            <v>196527.54</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GOTA"/>
      <sheetName val="resumen-mes"/>
      <sheetName val="resumen"/>
      <sheetName val="INVERGPO"/>
      <sheetName val="EMPAQUE"/>
      <sheetName val="Datos"/>
      <sheetName val="Detalle Viaje"/>
      <sheetName val="ResumenViaje"/>
      <sheetName val="VISA"/>
      <sheetName val="AMEX"/>
      <sheetName val="CtaAhorros"/>
      <sheetName val="CtaAhoEDA"/>
      <sheetName val="VisaNew"/>
      <sheetName val="Listas"/>
      <sheetName val="Sheet1"/>
      <sheetName val="Hoja de paramet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NTESIS"/>
      <sheetName val="EFTC"/>
      <sheetName val="BALANCE DE SITUACIÓN"/>
      <sheetName val="Indicadores"/>
      <sheetName val="BALANCE_DE_SITUACIÓN"/>
      <sheetName val="A3"/>
      <sheetName val="LIST"/>
      <sheetName val="Sheet2"/>
      <sheetName val="LISTAS"/>
      <sheetName val="LISTA"/>
      <sheetName val="Lista Proveedores"/>
      <sheetName val="BExRepositorySheet"/>
      <sheetName val="Realidad CCRR (previo reparto)"/>
      <sheetName val="Cuadro presentación"/>
      <sheetName val="Graph"/>
      <sheetName val="Lista_Proveedores"/>
      <sheetName val="Realidad_CCRR_(previo_reparto)"/>
      <sheetName val="Cuadro_presentación"/>
      <sheetName val="WACC"/>
      <sheetName val="Base"/>
      <sheetName val="PEP"/>
      <sheetName val="Tabla ADM"/>
      <sheetName val="Par."/>
      <sheetName val="BALANCE_DE_SITUACIÓN1"/>
      <sheetName val="Lista_Proveedores1"/>
      <sheetName val="A12"/>
      <sheetName val="ICIS shipping costs (2)"/>
      <sheetName val="Decodificador"/>
      <sheetName val="Clasificación transversales"/>
      <sheetName val="Leyenda"/>
      <sheetName val="Hoja1"/>
      <sheetName val="Hoja3"/>
      <sheetName val="Prefactura Montaje "/>
      <sheetName val="COP 10% Equipos EM DAP"/>
      <sheetName val="USD 10% Equipos EM DAP"/>
      <sheetName val="COP 20% Scada ING DET"/>
      <sheetName val="USD 20% Scada ING DET"/>
      <sheetName val="COP 5% Equipos EM Inicio Mont"/>
      <sheetName val="USD 5% Equipos EM Inicio Mont"/>
      <sheetName val="Resumen"/>
      <sheetName val="2019 10 Acta 8 EEM"/>
      <sheetName val="2019 10 Acta 1 EEM Mon"/>
      <sheetName val="HE"/>
      <sheetName val="Ejecutado (Monedas)"/>
      <sheetName val="2018 10 Acta 3"/>
      <sheetName val="2018 09 Acta 2"/>
      <sheetName val="2018 06 Acta 1"/>
      <sheetName val="Equipos"/>
      <sheetName val="Pre-factura Sum"/>
      <sheetName val="Pre-factura OC y Mon"/>
      <sheetName val="2019 11 Acta 08"/>
      <sheetName val="Acta Parcial No.13 (OC-MEM)"/>
    </sheetNames>
    <sheetDataSet>
      <sheetData sheetId="0" refreshError="1">
        <row r="4">
          <cell r="A4" t="str">
            <v xml:space="preserve"> </v>
          </cell>
        </row>
        <row r="7">
          <cell r="M7" t="str">
            <v>Inversiones Materiales</v>
          </cell>
          <cell r="N7">
            <v>129504</v>
          </cell>
          <cell r="O7">
            <v>0</v>
          </cell>
          <cell r="P7">
            <v>95281.8</v>
          </cell>
          <cell r="Q7">
            <v>0</v>
          </cell>
        </row>
        <row r="8">
          <cell r="M8" t="str">
            <v xml:space="preserve">Inversiones financieras </v>
          </cell>
          <cell r="N8">
            <v>34493</v>
          </cell>
          <cell r="O8">
            <v>0</v>
          </cell>
          <cell r="P8">
            <v>75773.7</v>
          </cell>
          <cell r="Q8">
            <v>0</v>
          </cell>
        </row>
        <row r="9">
          <cell r="M9" t="str">
            <v>Dividendos distribuidos</v>
          </cell>
          <cell r="N9">
            <v>18387</v>
          </cell>
          <cell r="O9">
            <v>0</v>
          </cell>
          <cell r="P9">
            <v>20498</v>
          </cell>
          <cell r="Q9">
            <v>0</v>
          </cell>
        </row>
        <row r="10">
          <cell r="M10" t="str">
            <v xml:space="preserve">Provisiones aplicadas </v>
          </cell>
          <cell r="N10">
            <v>18247</v>
          </cell>
          <cell r="O10">
            <v>0</v>
          </cell>
          <cell r="P10">
            <v>212</v>
          </cell>
          <cell r="Q10">
            <v>0</v>
          </cell>
        </row>
        <row r="11">
          <cell r="M11" t="str">
            <v>Inversiones Inmateriales</v>
          </cell>
          <cell r="N11">
            <v>6295</v>
          </cell>
          <cell r="O11">
            <v>0</v>
          </cell>
          <cell r="P11">
            <v>2630.7</v>
          </cell>
          <cell r="Q11">
            <v>0</v>
          </cell>
        </row>
        <row r="12">
          <cell r="M12" t="str">
            <v xml:space="preserve">Otras inversiones </v>
          </cell>
          <cell r="N12">
            <v>813</v>
          </cell>
          <cell r="O12">
            <v>0</v>
          </cell>
          <cell r="P12">
            <v>1560.6</v>
          </cell>
          <cell r="Q12">
            <v>0</v>
          </cell>
        </row>
        <row r="13">
          <cell r="M13" t="str">
            <v xml:space="preserve">Endeudamiento no financiero neto </v>
          </cell>
          <cell r="N13">
            <v>0</v>
          </cell>
          <cell r="O13">
            <v>201</v>
          </cell>
          <cell r="P13">
            <v>0</v>
          </cell>
          <cell r="Q13">
            <v>55</v>
          </cell>
        </row>
        <row r="14">
          <cell r="M14" t="str">
            <v xml:space="preserve">Variación del fondo de maniobra operativo </v>
          </cell>
          <cell r="N14">
            <v>20701</v>
          </cell>
          <cell r="O14">
            <v>0</v>
          </cell>
          <cell r="P14">
            <v>14474.3</v>
          </cell>
          <cell r="Q14">
            <v>0</v>
          </cell>
        </row>
        <row r="15">
          <cell r="M15" t="str">
            <v xml:space="preserve">Endeudamiento financiero neto </v>
          </cell>
          <cell r="N15">
            <v>0</v>
          </cell>
          <cell r="O15">
            <v>73610</v>
          </cell>
          <cell r="P15">
            <v>0</v>
          </cell>
          <cell r="Q15">
            <v>89025</v>
          </cell>
        </row>
        <row r="16">
          <cell r="M16" t="str">
            <v>CASH-FLOW</v>
          </cell>
          <cell r="N16">
            <v>0</v>
          </cell>
          <cell r="O16">
            <v>138634</v>
          </cell>
          <cell r="P16">
            <v>0</v>
          </cell>
          <cell r="Q16">
            <v>100078</v>
          </cell>
        </row>
        <row r="17">
          <cell r="M17" t="str">
            <v xml:space="preserve">Ingresos a distribuir recibidos </v>
          </cell>
          <cell r="N17">
            <v>0</v>
          </cell>
          <cell r="O17">
            <v>11001</v>
          </cell>
          <cell r="P17">
            <v>0</v>
          </cell>
          <cell r="Q17">
            <v>7661</v>
          </cell>
        </row>
        <row r="18">
          <cell r="M18" t="str">
            <v xml:space="preserve">Ampliaciones de capital </v>
          </cell>
          <cell r="N18">
            <v>0</v>
          </cell>
          <cell r="O18">
            <v>8385</v>
          </cell>
          <cell r="P18">
            <v>0</v>
          </cell>
          <cell r="Q18">
            <v>4009</v>
          </cell>
        </row>
        <row r="19">
          <cell r="M19" t="str">
            <v xml:space="preserve">Desinversiones </v>
          </cell>
          <cell r="N19">
            <v>0</v>
          </cell>
          <cell r="O19">
            <v>7070</v>
          </cell>
          <cell r="P19">
            <v>0</v>
          </cell>
          <cell r="Q19">
            <v>1780</v>
          </cell>
        </row>
        <row r="20">
          <cell r="M20" t="str">
            <v>INCREMENTO (DISMINUCION) DE TESORERIA (1)</v>
          </cell>
          <cell r="N20">
            <v>0</v>
          </cell>
          <cell r="O20">
            <v>10461</v>
          </cell>
          <cell r="P20">
            <v>7823</v>
          </cell>
          <cell r="Q20">
            <v>0</v>
          </cell>
        </row>
      </sheetData>
      <sheetData sheetId="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sheetData sheetId="40">
        <row r="7">
          <cell r="M7">
            <v>0</v>
          </cell>
        </row>
      </sheetData>
      <sheetData sheetId="41"/>
      <sheetData sheetId="42"/>
      <sheetData sheetId="43"/>
      <sheetData sheetId="44"/>
      <sheetData sheetId="45"/>
      <sheetData sheetId="46"/>
      <sheetData sheetId="47"/>
      <sheetData sheetId="48"/>
      <sheetData sheetId="49"/>
      <sheetData sheetId="50">
        <row r="8">
          <cell r="N8">
            <v>0</v>
          </cell>
        </row>
      </sheetData>
      <sheetData sheetId="5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ONISTAS_A_JULIO_23-99"/>
      <sheetName val="ACCION POR GRU AL 6 DE AGOSTO"/>
      <sheetName val="ACCION POR GRU AL 23 DE JULIO"/>
      <sheetName val="Valorizacion"/>
    </sheetNames>
    <sheetDataSet>
      <sheetData sheetId="0"/>
      <sheetData sheetId="1"/>
      <sheetData sheetId="2">
        <row r="3">
          <cell r="C3" t="str">
            <v>NOMBRE O RAZÓN SOCIAL</v>
          </cell>
          <cell r="D3" t="str">
            <v>ACCIONES</v>
          </cell>
          <cell r="E3" t="str">
            <v>%</v>
          </cell>
        </row>
        <row r="4">
          <cell r="C4" t="str">
            <v>FIDEICOMISO DE  G. Y P. ACERÍAS  PAZ DEL RIO</v>
          </cell>
          <cell r="D4">
            <v>11491177</v>
          </cell>
          <cell r="E4">
            <v>9.5759808333333343</v>
          </cell>
        </row>
        <row r="5">
          <cell r="C5" t="str">
            <v>FONDO MUTUO INVERSION ACERIAS PAZ DEL  RIO. APRECIAR</v>
          </cell>
          <cell r="D5">
            <v>144509</v>
          </cell>
          <cell r="E5">
            <v>0.12042416666666668</v>
          </cell>
        </row>
        <row r="6">
          <cell r="C6" t="str">
            <v>TOTAL</v>
          </cell>
          <cell r="D6">
            <v>11635686</v>
          </cell>
          <cell r="E6">
            <v>9.6964050000000004</v>
          </cell>
        </row>
        <row r="7">
          <cell r="C7" t="str">
            <v>CPR ADR PROGRAM THE BANK OF NEW YORK</v>
          </cell>
          <cell r="D7">
            <v>18765742</v>
          </cell>
          <cell r="E7">
            <v>15.638118333333335</v>
          </cell>
        </row>
        <row r="9">
          <cell r="C9" t="str">
            <v xml:space="preserve">CEMENTOS ARGOS  S.A. </v>
          </cell>
          <cell r="D9">
            <v>24124594</v>
          </cell>
          <cell r="E9">
            <v>20.103828333333336</v>
          </cell>
        </row>
        <row r="10">
          <cell r="C10" t="str">
            <v xml:space="preserve">CIA DE INVERSIONES LA MERCED </v>
          </cell>
          <cell r="D10">
            <v>19876107</v>
          </cell>
          <cell r="E10">
            <v>16.563422499999998</v>
          </cell>
        </row>
        <row r="11">
          <cell r="C11" t="str">
            <v>FUND.PARA BENEF.SOCIAL EMPLEADOS CEMCARIBE</v>
          </cell>
          <cell r="D11">
            <v>5374934</v>
          </cell>
          <cell r="E11">
            <v>4.4791116666666664</v>
          </cell>
        </row>
        <row r="12">
          <cell r="C12" t="str">
            <v>FONDO DE PENSIONES OBLIGATORIAS PROTECCIÓN</v>
          </cell>
          <cell r="D12">
            <v>2305000</v>
          </cell>
          <cell r="E12">
            <v>1.9208333333333334</v>
          </cell>
        </row>
        <row r="13">
          <cell r="C13" t="str">
            <v xml:space="preserve">CEMENTOS RIO CLARO S.A. </v>
          </cell>
          <cell r="D13">
            <v>2137782</v>
          </cell>
          <cell r="E13">
            <v>1.781485</v>
          </cell>
        </row>
        <row r="14">
          <cell r="C14" t="str">
            <v>INVERSIONES REACOL S.A.</v>
          </cell>
          <cell r="D14">
            <v>1543975</v>
          </cell>
          <cell r="E14">
            <v>1.2866458333333335</v>
          </cell>
        </row>
        <row r="15">
          <cell r="C15" t="str">
            <v>CORFINSURA</v>
          </cell>
          <cell r="D15">
            <v>1516392</v>
          </cell>
          <cell r="E15">
            <v>1.26366</v>
          </cell>
        </row>
        <row r="16">
          <cell r="C16" t="str">
            <v xml:space="preserve">CEMENTOS EL CAIRO S.A. </v>
          </cell>
          <cell r="D16">
            <v>1485397</v>
          </cell>
          <cell r="E16">
            <v>1.2378308333333332</v>
          </cell>
        </row>
        <row r="17">
          <cell r="C17" t="str">
            <v xml:space="preserve">CEMENTOS DEL NARE S.A. </v>
          </cell>
          <cell r="D17">
            <v>1409476</v>
          </cell>
          <cell r="E17">
            <v>1.1745633333333334</v>
          </cell>
        </row>
        <row r="18">
          <cell r="C18" t="str">
            <v xml:space="preserve">CEMENTOS DEL VALLE S.A. </v>
          </cell>
          <cell r="D18">
            <v>1320993</v>
          </cell>
          <cell r="E18">
            <v>1.1008275000000001</v>
          </cell>
        </row>
        <row r="19">
          <cell r="C19" t="str">
            <v>BANCOLOMBIA</v>
          </cell>
          <cell r="D19">
            <v>1317141</v>
          </cell>
          <cell r="E19">
            <v>1.0976174999999999</v>
          </cell>
        </row>
        <row r="20">
          <cell r="C20" t="str">
            <v>COMPAÑÍA SURAMERICANA DE CONSTRUCCIONES S.A</v>
          </cell>
          <cell r="D20">
            <v>631674</v>
          </cell>
          <cell r="E20">
            <v>0.52639499999999995</v>
          </cell>
        </row>
        <row r="21">
          <cell r="C21" t="str">
            <v>CIA. REASEGURADORA DE COLOMBIA S.A.</v>
          </cell>
          <cell r="D21">
            <v>500000</v>
          </cell>
          <cell r="E21">
            <v>0.41666666666666669</v>
          </cell>
        </row>
        <row r="22">
          <cell r="C22" t="str">
            <v>BANCOLOMBIA PANAMA</v>
          </cell>
          <cell r="D22">
            <v>488574</v>
          </cell>
          <cell r="E22">
            <v>0.40714499999999998</v>
          </cell>
        </row>
        <row r="23">
          <cell r="C23" t="str">
            <v xml:space="preserve">CEMENTOS DEL CARIBE S.A. </v>
          </cell>
          <cell r="D23">
            <v>218584</v>
          </cell>
          <cell r="E23">
            <v>0.18215333333333333</v>
          </cell>
        </row>
        <row r="24">
          <cell r="C24" t="str">
            <v>SUFINANCIAMIENTO</v>
          </cell>
          <cell r="D24">
            <v>175578</v>
          </cell>
          <cell r="E24">
            <v>0.146315</v>
          </cell>
        </row>
        <row r="25">
          <cell r="C25" t="str">
            <v>FOMENTE</v>
          </cell>
          <cell r="D25">
            <v>171664</v>
          </cell>
          <cell r="E25">
            <v>0.14305333333333334</v>
          </cell>
        </row>
        <row r="26">
          <cell r="C26" t="str">
            <v>COMPAÑÍA NACIONAL DE CHOCOLOATES</v>
          </cell>
          <cell r="D26">
            <v>75059</v>
          </cell>
          <cell r="E26">
            <v>6.254916666666667E-2</v>
          </cell>
        </row>
        <row r="27">
          <cell r="C27" t="str">
            <v>SULEASING SURAMERICANA Y CIA.</v>
          </cell>
          <cell r="D27">
            <v>67811</v>
          </cell>
          <cell r="E27">
            <v>5.6509166666666666E-2</v>
          </cell>
        </row>
        <row r="28">
          <cell r="C28" t="str">
            <v>SURAMERICANA ADMDORA.DE RIESGOS PROF.Y SEG.SURATEP</v>
          </cell>
          <cell r="D28">
            <v>60908</v>
          </cell>
          <cell r="E28">
            <v>5.0756666666666665E-2</v>
          </cell>
        </row>
        <row r="29">
          <cell r="C29" t="str">
            <v>NUEVO MUNDO COMPANIA GENERAL S.A.</v>
          </cell>
          <cell r="D29">
            <v>25000</v>
          </cell>
          <cell r="E29">
            <v>2.0833333333333336E-2</v>
          </cell>
        </row>
        <row r="30">
          <cell r="C30" t="str">
            <v>ERECOS S.A.</v>
          </cell>
          <cell r="D30">
            <v>12056</v>
          </cell>
          <cell r="E30">
            <v>1.0046666666666667E-2</v>
          </cell>
        </row>
        <row r="31">
          <cell r="C31" t="str">
            <v>TOTAL</v>
          </cell>
          <cell r="D31">
            <v>64838699</v>
          </cell>
          <cell r="E31">
            <v>54.032249166666666</v>
          </cell>
        </row>
        <row r="32">
          <cell r="C32" t="str">
            <v>BANCO DE BOGOTA</v>
          </cell>
          <cell r="D32">
            <v>2098161</v>
          </cell>
          <cell r="E32">
            <v>1.7484675000000001</v>
          </cell>
        </row>
        <row r="33">
          <cell r="C33" t="str">
            <v>RAMÍREZ MORENO NELLY</v>
          </cell>
          <cell r="D33">
            <v>1603557</v>
          </cell>
          <cell r="E33">
            <v>1.3362974999999999</v>
          </cell>
        </row>
        <row r="34">
          <cell r="C34" t="str">
            <v xml:space="preserve">CORP. FINANCIERA ING. COLOMBIA </v>
          </cell>
          <cell r="D34">
            <v>1014684</v>
          </cell>
          <cell r="E34">
            <v>0.84557000000000004</v>
          </cell>
        </row>
        <row r="35">
          <cell r="C35" t="str">
            <v xml:space="preserve">INSTITUTO DE FOMENTO INDUSTRIAL </v>
          </cell>
          <cell r="D35">
            <v>802375</v>
          </cell>
          <cell r="E35">
            <v>0.66864583333333338</v>
          </cell>
        </row>
        <row r="36">
          <cell r="C36" t="str">
            <v>ISTITUTO DE SEGUROS SOCIALES  - ISS</v>
          </cell>
          <cell r="D36">
            <v>740207</v>
          </cell>
          <cell r="E36">
            <v>0.61683916666666672</v>
          </cell>
        </row>
        <row r="37">
          <cell r="C37" t="str">
            <v>BANCO GANADERO</v>
          </cell>
          <cell r="D37">
            <v>660340</v>
          </cell>
          <cell r="E37">
            <v>0.55028333333333335</v>
          </cell>
        </row>
        <row r="38">
          <cell r="C38" t="str">
            <v>EMPRESA DE ENERGIA DE BOYACÁ</v>
          </cell>
          <cell r="D38">
            <v>627810</v>
          </cell>
          <cell r="E38">
            <v>0.52317500000000006</v>
          </cell>
        </row>
        <row r="39">
          <cell r="C39" t="str">
            <v>BETANCUR DE TORO MARGARITA LILIA</v>
          </cell>
          <cell r="D39">
            <v>575722</v>
          </cell>
          <cell r="E39">
            <v>0.47976833333333335</v>
          </cell>
        </row>
        <row r="40">
          <cell r="C40" t="str">
            <v>ESCUELA DE INGENIERIA DE ANTIOQUIA</v>
          </cell>
          <cell r="D40">
            <v>395282</v>
          </cell>
          <cell r="E40">
            <v>0.32940166666666665</v>
          </cell>
        </row>
        <row r="41">
          <cell r="C41" t="str">
            <v>JUAN MANUEL RUISECO &amp; CIA S. EN C.</v>
          </cell>
          <cell r="D41">
            <v>328868</v>
          </cell>
          <cell r="E41">
            <v>0.27405666666666667</v>
          </cell>
        </row>
        <row r="42">
          <cell r="C42" t="str">
            <v>BANCO POPULAR</v>
          </cell>
          <cell r="D42">
            <v>311865</v>
          </cell>
          <cell r="E42">
            <v>0.25988749999999999</v>
          </cell>
        </row>
        <row r="43">
          <cell r="C43" t="str">
            <v>MINERALES DE COLOMBIA-MINERALCO</v>
          </cell>
          <cell r="D43">
            <v>293032</v>
          </cell>
          <cell r="E43">
            <v>0.24419333333333335</v>
          </cell>
        </row>
        <row r="44">
          <cell r="C44" t="str">
            <v>FDO.MUT. DE INVERSION SOCIAL  FONSOCIAL</v>
          </cell>
          <cell r="D44">
            <v>231104</v>
          </cell>
          <cell r="E44">
            <v>0.19258666666666666</v>
          </cell>
        </row>
        <row r="45">
          <cell r="C45" t="str">
            <v>CITIBANK COLOMBIA</v>
          </cell>
          <cell r="D45">
            <v>203730</v>
          </cell>
          <cell r="E45">
            <v>0.16977500000000001</v>
          </cell>
        </row>
        <row r="46">
          <cell r="C46" t="str">
            <v>FUNDACION PABLO RAMIREZ</v>
          </cell>
          <cell r="D46">
            <v>203685</v>
          </cell>
          <cell r="E46">
            <v>0.16973750000000001</v>
          </cell>
        </row>
        <row r="47">
          <cell r="C47" t="str">
            <v>OTROS</v>
          </cell>
          <cell r="D47">
            <v>9221274</v>
          </cell>
          <cell r="E47">
            <v>7.6843949999999994</v>
          </cell>
        </row>
        <row r="48">
          <cell r="C48" t="str">
            <v>TOTAL</v>
          </cell>
          <cell r="D48">
            <v>19311696</v>
          </cell>
          <cell r="E48">
            <v>16.09308</v>
          </cell>
        </row>
        <row r="49">
          <cell r="C49" t="str">
            <v>EX IM BANK</v>
          </cell>
          <cell r="D49">
            <v>2528386</v>
          </cell>
          <cell r="E49">
            <v>2.1069883333333332</v>
          </cell>
        </row>
        <row r="50">
          <cell r="C50" t="str">
            <v>CHEMICAL INTERNATIONAL BANKING CORP.</v>
          </cell>
          <cell r="D50">
            <v>845145</v>
          </cell>
          <cell r="E50">
            <v>0.70428749999999996</v>
          </cell>
        </row>
        <row r="51">
          <cell r="C51" t="str">
            <v>FDO COLOMBIA EMERGING MARKETS INDEX  COMMON TRUST</v>
          </cell>
          <cell r="D51">
            <v>794592</v>
          </cell>
          <cell r="E51">
            <v>0.66215999999999997</v>
          </cell>
        </row>
        <row r="52">
          <cell r="C52" t="str">
            <v>THE CHASSE MANHATTAN BANK</v>
          </cell>
          <cell r="D52">
            <v>740977</v>
          </cell>
          <cell r="E52">
            <v>0.61748083333333337</v>
          </cell>
        </row>
        <row r="53">
          <cell r="C53" t="str">
            <v>STATE STREET EMERGING MARKETS</v>
          </cell>
          <cell r="D53">
            <v>172610</v>
          </cell>
          <cell r="E53">
            <v>0.14384166666666667</v>
          </cell>
        </row>
        <row r="54">
          <cell r="C54" t="str">
            <v>SUBFONDO BARCLAYS GLOBAL INVESTORS SERVICES</v>
          </cell>
          <cell r="D54">
            <v>151938</v>
          </cell>
          <cell r="E54">
            <v>0.12661500000000001</v>
          </cell>
        </row>
        <row r="55">
          <cell r="C55" t="str">
            <v>FONDO THE AQUILA EMERGING MARKETS FUND</v>
          </cell>
          <cell r="D55">
            <v>108940</v>
          </cell>
          <cell r="E55">
            <v>9.0783333333333327E-2</v>
          </cell>
        </row>
      </sheetData>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Tickmarks"/>
      <sheetName val="XREF"/>
      <sheetName val="PPC1"/>
      <sheetName val="PPC2"/>
      <sheetName val="PPC3"/>
      <sheetName val="PPC4"/>
      <sheetName val="ENVIOCALI"/>
      <sheetName val="T. DINAMICA"/>
    </sheetNames>
    <sheetDataSet>
      <sheetData sheetId="0">
        <row r="1">
          <cell r="D1" t="str">
            <v>(Cifras expresadas en miles de pesos)</v>
          </cell>
        </row>
        <row r="16">
          <cell r="K16">
            <v>40966031</v>
          </cell>
          <cell r="L16" t="str">
            <v>!</v>
          </cell>
        </row>
        <row r="39">
          <cell r="P39">
            <v>-13866101</v>
          </cell>
          <cell r="Q39" t="str">
            <v>!</v>
          </cell>
        </row>
      </sheetData>
      <sheetData sheetId="1">
        <row r="1">
          <cell r="A1" t="str">
            <v>(reserved)</v>
          </cell>
        </row>
      </sheetData>
      <sheetData sheetId="2">
        <row r="5">
          <cell r="B5" t="str">
            <v>De acuerdo al kardex obtenido del módulo de activos fijos el saldo al 31 de diciembre de 2006,se encuentra adecuado. Ver PPC1.</v>
          </cell>
        </row>
      </sheetData>
      <sheetData sheetId="3">
        <row r="2">
          <cell r="A2">
            <v>40966031</v>
          </cell>
          <cell r="B2">
            <v>40966031</v>
          </cell>
          <cell r="D2" t="str">
            <v>Cuentas de orden - Cedula sumaria y pruebas</v>
          </cell>
          <cell r="E2" t="str">
            <v>!</v>
          </cell>
        </row>
        <row r="3">
          <cell r="A3">
            <v>40966031</v>
          </cell>
          <cell r="B3">
            <v>40966031</v>
          </cell>
          <cell r="D3" t="str">
            <v>Cuentas de orden - Cedula sumaria y pruebas</v>
          </cell>
          <cell r="E3" t="str">
            <v>!</v>
          </cell>
        </row>
        <row r="4">
          <cell r="A4">
            <v>-13866101</v>
          </cell>
          <cell r="B4">
            <v>-13866101</v>
          </cell>
          <cell r="D4" t="str">
            <v>Cuentas de orden - Cedula sumaria y pruebas</v>
          </cell>
          <cell r="E4" t="str">
            <v>!</v>
          </cell>
        </row>
        <row r="5">
          <cell r="A5">
            <v>-13866101</v>
          </cell>
          <cell r="B5">
            <v>-13866101</v>
          </cell>
          <cell r="D5" t="str">
            <v>Cuentas de orden - Cedula sumaria y pruebas</v>
          </cell>
          <cell r="E5" t="str">
            <v>!</v>
          </cell>
        </row>
      </sheetData>
      <sheetData sheetId="4">
        <row r="27980">
          <cell r="D27980" t="str">
            <v>Para efectos de cruce</v>
          </cell>
        </row>
        <row r="27983">
          <cell r="E27983">
            <v>40966031</v>
          </cell>
          <cell r="F27983" t="str">
            <v>!</v>
          </cell>
        </row>
      </sheetData>
      <sheetData sheetId="5">
        <row r="7">
          <cell r="F7" t="str">
            <v>N/S</v>
          </cell>
        </row>
        <row r="8">
          <cell r="F8" t="str">
            <v>N</v>
          </cell>
        </row>
        <row r="10">
          <cell r="F10" t="str">
            <v>N</v>
          </cell>
        </row>
        <row r="11">
          <cell r="F11" t="str">
            <v>N</v>
          </cell>
        </row>
        <row r="12">
          <cell r="F12" t="str">
            <v>N</v>
          </cell>
        </row>
        <row r="13">
          <cell r="F13" t="str">
            <v>N</v>
          </cell>
        </row>
        <row r="14">
          <cell r="F14" t="str">
            <v>N</v>
          </cell>
        </row>
        <row r="15">
          <cell r="F15" t="str">
            <v>N</v>
          </cell>
        </row>
        <row r="16">
          <cell r="F16" t="str">
            <v>N</v>
          </cell>
        </row>
        <row r="17">
          <cell r="F17" t="str">
            <v>N</v>
          </cell>
        </row>
        <row r="19">
          <cell r="F19" t="str">
            <v>N</v>
          </cell>
        </row>
        <row r="20">
          <cell r="F20" t="str">
            <v>N</v>
          </cell>
        </row>
        <row r="21">
          <cell r="F21" t="str">
            <v>N</v>
          </cell>
        </row>
        <row r="22">
          <cell r="F22" t="str">
            <v>N</v>
          </cell>
        </row>
        <row r="23">
          <cell r="F23" t="str">
            <v>N</v>
          </cell>
        </row>
        <row r="24">
          <cell r="F24" t="str">
            <v>N</v>
          </cell>
        </row>
        <row r="25">
          <cell r="F25" t="str">
            <v>N</v>
          </cell>
        </row>
        <row r="26">
          <cell r="F26" t="str">
            <v>N</v>
          </cell>
        </row>
        <row r="56">
          <cell r="E56">
            <v>-13866101</v>
          </cell>
          <cell r="F56" t="str">
            <v>!</v>
          </cell>
        </row>
      </sheetData>
      <sheetData sheetId="6"/>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hyperlink" Target="https://www.celsia.com/es/sostenibilidad/reportes" TargetMode="External"/><Relationship Id="rId13" Type="http://schemas.openxmlformats.org/officeDocument/2006/relationships/hyperlink" Target="http://www.cpc.ncep.noaa.gov/products/precip/CWlink/MJO/enso.shtml" TargetMode="External"/><Relationship Id="rId18" Type="http://schemas.openxmlformats.org/officeDocument/2006/relationships/hyperlink" Target="https://www.celsia.com/es/accionistas-e-inversionistas/informacion-financiera/reportes" TargetMode="External"/><Relationship Id="rId26" Type="http://schemas.openxmlformats.org/officeDocument/2006/relationships/hyperlink" Target="http://www.xm.com.co/Paginas/Mercado-de-energia/descripcion-del-sistema-electrico-colombiano.aspx" TargetMode="External"/><Relationship Id="rId3" Type="http://schemas.openxmlformats.org/officeDocument/2006/relationships/hyperlink" Target="http://www.siel.gov.co/Inicio/Demanda/ProyeccionesdeDemanda/tabid/97/Default.aspx" TargetMode="External"/><Relationship Id="rId21" Type="http://schemas.openxmlformats.org/officeDocument/2006/relationships/hyperlink" Target="http://www.bvc.com.co/recursos/emisores/Prospectos/Bonos/Prospecto_EPSA_2010.pdf" TargetMode="External"/><Relationship Id="rId7" Type="http://schemas.openxmlformats.org/officeDocument/2006/relationships/hyperlink" Target="http://informesanuales.xm.com.co/SitePages/Default.aspx" TargetMode="External"/><Relationship Id="rId12" Type="http://schemas.openxmlformats.org/officeDocument/2006/relationships/hyperlink" Target="http://www.celsia.com/es/nuestra-empresa/historia" TargetMode="External"/><Relationship Id="rId17" Type="http://schemas.openxmlformats.org/officeDocument/2006/relationships/hyperlink" Target="http://www.creg.gov.co/cxc/index.htm" TargetMode="External"/><Relationship Id="rId25" Type="http://schemas.openxmlformats.org/officeDocument/2006/relationships/hyperlink" Target="https://www.celsia.com/honduras/Centrales-hidroel%C3%A9ctricas" TargetMode="External"/><Relationship Id="rId2" Type="http://schemas.openxmlformats.org/officeDocument/2006/relationships/hyperlink" Target="http://www.siel.gov.co/" TargetMode="External"/><Relationship Id="rId16" Type="http://schemas.openxmlformats.org/officeDocument/2006/relationships/hyperlink" Target="http://www.ideam.gov.co/web/tiempo-y-clima/prediccion-climatica" TargetMode="External"/><Relationship Id="rId20" Type="http://schemas.openxmlformats.org/officeDocument/2006/relationships/hyperlink" Target="https://www.celsia.com/Portals/0/contenidos-celsia/accionistas-e-inversionistas/pdf/celsia/Prospecto-Celsia.pdf" TargetMode="External"/><Relationship Id="rId1" Type="http://schemas.openxmlformats.org/officeDocument/2006/relationships/hyperlink" Target="http://www.concentra.co/" TargetMode="External"/><Relationship Id="rId6" Type="http://schemas.openxmlformats.org/officeDocument/2006/relationships/hyperlink" Target="http://apolo.creg.gov.co/Publicac.nsf/Documentos-Resoluciones?OpenView&amp;Start=1&amp;Count=30&amp;Collapse=1" TargetMode="External"/><Relationship Id="rId11" Type="http://schemas.openxmlformats.org/officeDocument/2006/relationships/hyperlink" Target="http://www.celsia.com/es/nuestra-empresa/modelo-de-negocio/comercializacion" TargetMode="External"/><Relationship Id="rId24" Type="http://schemas.openxmlformats.org/officeDocument/2006/relationships/hyperlink" Target="https://www.celsia.com/Portals/0/contenidos-celsia/accionistas-e-inversionistas/perfil-corporativo/presentaciones/pdf/induccion-en-el-mercado-electrico-colombiano-2013.pdf" TargetMode="External"/><Relationship Id="rId5" Type="http://schemas.openxmlformats.org/officeDocument/2006/relationships/hyperlink" Target="http://www.creg.gov.co/cxc/secciones/colombia_cifras/colombia_cifras.htm" TargetMode="External"/><Relationship Id="rId15" Type="http://schemas.openxmlformats.org/officeDocument/2006/relationships/hyperlink" Target="http://www.celsia.com/es/accionistas-e-inversionistas/perfil-corporativo/presentaciones" TargetMode="External"/><Relationship Id="rId23" Type="http://schemas.openxmlformats.org/officeDocument/2006/relationships/hyperlink" Target="https://www.celsia.com/es/accionistas-e-inversionistas/epsa/perfil-corporativo" TargetMode="External"/><Relationship Id="rId28" Type="http://schemas.openxmlformats.org/officeDocument/2006/relationships/printerSettings" Target="../printerSettings/printerSettings13.bin"/><Relationship Id="rId10" Type="http://schemas.openxmlformats.org/officeDocument/2006/relationships/hyperlink" Target="http://www.celsia.com/nuestra-empresa/modelo-de-negocio/transmision-y-distribucion" TargetMode="External"/><Relationship Id="rId19" Type="http://schemas.openxmlformats.org/officeDocument/2006/relationships/hyperlink" Target="https://www.celsia.com/Portals/0/landingsource/img/Completo%20Prospecto%20de%20informacio%CC%81n%20Celsia.pdf" TargetMode="External"/><Relationship Id="rId4" Type="http://schemas.openxmlformats.org/officeDocument/2006/relationships/hyperlink" Target="http://informacioninteligente10.xm.com.co/Pages/default.aspx" TargetMode="External"/><Relationship Id="rId9" Type="http://schemas.openxmlformats.org/officeDocument/2006/relationships/hyperlink" Target="http://www.celsia.com/nuestra-empresa/modelo-de-negocio/generacion" TargetMode="External"/><Relationship Id="rId14" Type="http://schemas.openxmlformats.org/officeDocument/2006/relationships/hyperlink" Target="http://www.bom.gov.au/climate/enso/" TargetMode="External"/><Relationship Id="rId22" Type="http://schemas.openxmlformats.org/officeDocument/2006/relationships/hyperlink" Target="https://www.celsia.com/es/accionistas-e-inversionistas/epsa/informacion-financiera" TargetMode="External"/><Relationship Id="rId27" Type="http://schemas.openxmlformats.org/officeDocument/2006/relationships/hyperlink" Target="http://www.xm.com.co/Paginas/Operacion/Planeacion.aspx"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www.hidromet.com.pa/cuencas.php" TargetMode="External"/><Relationship Id="rId13" Type="http://schemas.openxmlformats.org/officeDocument/2006/relationships/hyperlink" Target="https://www.hidromet.com.pa/es/aportes-embalses" TargetMode="External"/><Relationship Id="rId3" Type="http://schemas.openxmlformats.org/officeDocument/2006/relationships/hyperlink" Target="http://www.cnd.com.pa/" TargetMode="External"/><Relationship Id="rId7" Type="http://schemas.openxmlformats.org/officeDocument/2006/relationships/hyperlink" Target="http://www.hidromet.com.pa/centrales_hidro.php" TargetMode="External"/><Relationship Id="rId12" Type="http://schemas.openxmlformats.org/officeDocument/2006/relationships/hyperlink" Target="https://www.hidromet.com.pa/es/embalses" TargetMode="External"/><Relationship Id="rId2" Type="http://schemas.openxmlformats.org/officeDocument/2006/relationships/hyperlink" Target="http://www.cnd.com.pa/" TargetMode="External"/><Relationship Id="rId1" Type="http://schemas.openxmlformats.org/officeDocument/2006/relationships/hyperlink" Target="http://www.cnd.com.pa/" TargetMode="External"/><Relationship Id="rId6" Type="http://schemas.openxmlformats.org/officeDocument/2006/relationships/hyperlink" Target="http://www.cnd.com.pa/informes.php?cat=0&amp;tipo_informe=27" TargetMode="External"/><Relationship Id="rId11" Type="http://schemas.openxmlformats.org/officeDocument/2006/relationships/hyperlink" Target="https://www.panabolsa.com/es/emisor/altr/" TargetMode="External"/><Relationship Id="rId5" Type="http://schemas.openxmlformats.org/officeDocument/2006/relationships/hyperlink" Target="http://www.cnd.com.pa/informes.php?tipo_informe=17&amp;cat=2" TargetMode="External"/><Relationship Id="rId10" Type="http://schemas.openxmlformats.org/officeDocument/2006/relationships/hyperlink" Target="http://www.cnd.com.pa/informes.php?cat=7" TargetMode="External"/><Relationship Id="rId4" Type="http://schemas.openxmlformats.org/officeDocument/2006/relationships/hyperlink" Target="http://www.cnd.com.pa/" TargetMode="External"/><Relationship Id="rId9" Type="http://schemas.openxmlformats.org/officeDocument/2006/relationships/hyperlink" Target="https://www.cnd.com.pa/informes.php?cat=1" TargetMode="External"/><Relationship Id="rId14"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celsia.com/wp-content/uploads/2022/02/20220223-Premios-y-Reconocimientos-2021.pdf" TargetMode="External"/><Relationship Id="rId2" Type="http://schemas.openxmlformats.org/officeDocument/2006/relationships/hyperlink" Target="https://www.celsia.com/es/quienes-somos/gobierno-corporativo-celsia/" TargetMode="External"/><Relationship Id="rId1" Type="http://schemas.openxmlformats.org/officeDocument/2006/relationships/hyperlink" Target="https://www.celsia.com/es/quienes-somos/sostenibilidad/metas-socioambientales/" TargetMode="External"/><Relationship Id="rId6" Type="http://schemas.openxmlformats.org/officeDocument/2006/relationships/printerSettings" Target="../printerSettings/printerSettings7.bin"/><Relationship Id="rId5" Type="http://schemas.openxmlformats.org/officeDocument/2006/relationships/hyperlink" Target="https://app.powerbi.com/view?r=eyJrIjoiMjg3NDc0NzEtNDE3ZS00MTM2LWE4N2MtNTEzMmI0YzZkZDUzIiwidCI6ImRmMDJiYWRiLWEyZDMtNGE5OS1hOWRiLTRmZWMzNjdmM2ZhMSIsImMiOjR9" TargetMode="External"/><Relationship Id="rId4" Type="http://schemas.openxmlformats.org/officeDocument/2006/relationships/hyperlink" Target="https://www.celsia.com/es/quienes-somos/sostenibilidad/reportes/" TargetMode="Externa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51"/>
  <sheetViews>
    <sheetView showGridLines="0" workbookViewId="0">
      <selection activeCell="B10" sqref="B10"/>
    </sheetView>
  </sheetViews>
  <sheetFormatPr baseColWidth="10" defaultRowHeight="11.25"/>
  <cols>
    <col min="1" max="1" width="3.5703125" style="93" customWidth="1"/>
    <col min="2" max="2" width="151.42578125" style="14" customWidth="1"/>
    <col min="3" max="16384" width="11.42578125" style="14"/>
  </cols>
  <sheetData>
    <row r="2" spans="1:10">
      <c r="B2" s="13" t="s">
        <v>529</v>
      </c>
    </row>
    <row r="3" spans="1:10">
      <c r="B3" s="18" t="s">
        <v>218</v>
      </c>
    </row>
    <row r="6" spans="1:10" ht="14.1" customHeight="1" thickBot="1">
      <c r="A6" s="14"/>
      <c r="B6" s="83" t="s">
        <v>219</v>
      </c>
    </row>
    <row r="7" spans="1:10" ht="12" thickTop="1"/>
    <row r="8" spans="1:10" s="23" customFormat="1" ht="14.1" customHeight="1" thickBot="1">
      <c r="B8" s="28" t="s">
        <v>2</v>
      </c>
      <c r="C8" s="63"/>
      <c r="D8" s="63"/>
      <c r="E8" s="63"/>
      <c r="F8" s="63"/>
      <c r="G8" s="63"/>
      <c r="H8" s="63"/>
      <c r="I8" s="63"/>
      <c r="J8" s="63"/>
    </row>
    <row r="9" spans="1:10" ht="80.25" customHeight="1" thickTop="1">
      <c r="B9" s="99" t="s">
        <v>477</v>
      </c>
      <c r="C9" s="99"/>
      <c r="D9" s="99"/>
      <c r="E9" s="99"/>
      <c r="F9" s="99"/>
      <c r="G9" s="99"/>
    </row>
    <row r="10" spans="1:10" ht="15" customHeight="1">
      <c r="B10" s="99"/>
      <c r="C10" s="99"/>
      <c r="D10" s="99"/>
      <c r="E10" s="99"/>
      <c r="F10" s="99"/>
      <c r="G10" s="99"/>
    </row>
    <row r="11" spans="1:10" s="23" customFormat="1" ht="14.1" customHeight="1" thickBot="1">
      <c r="B11" s="28" t="s">
        <v>3</v>
      </c>
      <c r="C11" s="63"/>
      <c r="D11" s="63"/>
      <c r="E11" s="63"/>
      <c r="F11" s="63"/>
      <c r="G11" s="63"/>
      <c r="H11" s="63"/>
      <c r="I11" s="63"/>
      <c r="J11" s="63"/>
    </row>
    <row r="12" spans="1:10" s="235" customFormat="1" ht="13.5" thickTop="1">
      <c r="A12" s="646"/>
      <c r="B12" s="647" t="s">
        <v>475</v>
      </c>
    </row>
    <row r="13" spans="1:10" s="235" customFormat="1" ht="12.75">
      <c r="A13" s="646"/>
      <c r="B13" s="647" t="s">
        <v>476</v>
      </c>
    </row>
    <row r="14" spans="1:10" s="235" customFormat="1" ht="12.75">
      <c r="A14" s="646"/>
      <c r="B14" s="647" t="s">
        <v>220</v>
      </c>
    </row>
    <row r="15" spans="1:10" s="235" customFormat="1" ht="12.75">
      <c r="A15" s="646"/>
      <c r="B15" s="647" t="s">
        <v>221</v>
      </c>
    </row>
    <row r="16" spans="1:10" s="235" customFormat="1" ht="12.75">
      <c r="A16" s="646"/>
      <c r="B16" s="647" t="s">
        <v>222</v>
      </c>
    </row>
    <row r="17" spans="1:10" s="235" customFormat="1" ht="12.75">
      <c r="A17" s="646"/>
      <c r="B17" s="648" t="s">
        <v>138</v>
      </c>
    </row>
    <row r="18" spans="1:10" s="235" customFormat="1" ht="12.75">
      <c r="A18" s="646"/>
      <c r="B18" s="648" t="s">
        <v>376</v>
      </c>
    </row>
    <row r="19" spans="1:10" s="235" customFormat="1" ht="12.75">
      <c r="A19" s="646"/>
      <c r="B19" s="648" t="s">
        <v>139</v>
      </c>
    </row>
    <row r="20" spans="1:10" s="235" customFormat="1" ht="12.75">
      <c r="A20" s="646"/>
      <c r="B20" s="648" t="s">
        <v>18</v>
      </c>
    </row>
    <row r="21" spans="1:10" s="235" customFormat="1" ht="12.75">
      <c r="A21" s="646"/>
    </row>
    <row r="22" spans="1:10" s="649" customFormat="1" ht="14.1" customHeight="1" thickBot="1">
      <c r="B22" s="650" t="s">
        <v>4</v>
      </c>
      <c r="C22" s="651"/>
      <c r="D22" s="651"/>
      <c r="E22" s="651"/>
      <c r="F22" s="651"/>
      <c r="G22" s="651"/>
      <c r="H22" s="651"/>
      <c r="I22" s="651"/>
      <c r="J22" s="651"/>
    </row>
    <row r="23" spans="1:10" s="649" customFormat="1" ht="14.1" customHeight="1" thickTop="1">
      <c r="B23" s="647" t="s">
        <v>223</v>
      </c>
      <c r="C23" s="651"/>
      <c r="D23" s="651"/>
      <c r="E23" s="651"/>
      <c r="F23" s="651"/>
      <c r="G23" s="651"/>
      <c r="H23" s="651"/>
      <c r="I23" s="651"/>
      <c r="J23" s="651"/>
    </row>
    <row r="24" spans="1:10" s="235" customFormat="1" ht="12.75">
      <c r="A24" s="646"/>
      <c r="B24" s="648" t="s">
        <v>300</v>
      </c>
    </row>
    <row r="25" spans="1:10" s="235" customFormat="1" ht="12.75">
      <c r="A25" s="646"/>
      <c r="B25" s="648" t="s">
        <v>738</v>
      </c>
    </row>
    <row r="26" spans="1:10" s="235" customFormat="1" ht="12.75">
      <c r="A26" s="646"/>
      <c r="B26" s="648" t="s">
        <v>304</v>
      </c>
    </row>
    <row r="27" spans="1:10" s="235" customFormat="1" ht="12.75">
      <c r="A27" s="646"/>
      <c r="B27" s="652"/>
    </row>
    <row r="28" spans="1:10" s="649" customFormat="1" ht="14.1" customHeight="1" thickBot="1">
      <c r="B28" s="650" t="s">
        <v>865</v>
      </c>
      <c r="C28" s="651"/>
      <c r="D28" s="651"/>
      <c r="E28" s="651"/>
      <c r="F28" s="651"/>
      <c r="G28" s="651"/>
      <c r="H28" s="651"/>
      <c r="I28" s="651"/>
      <c r="J28" s="651"/>
    </row>
    <row r="29" spans="1:10" s="235" customFormat="1" ht="13.5" thickTop="1">
      <c r="A29" s="646"/>
      <c r="B29" s="648" t="s">
        <v>538</v>
      </c>
    </row>
    <row r="30" spans="1:10" s="235" customFormat="1" ht="12.75">
      <c r="A30" s="646"/>
      <c r="B30" s="648" t="s">
        <v>508</v>
      </c>
    </row>
    <row r="31" spans="1:10" s="235" customFormat="1" ht="12.75">
      <c r="A31" s="646"/>
      <c r="B31" s="648" t="s">
        <v>507</v>
      </c>
    </row>
    <row r="32" spans="1:10" s="235" customFormat="1" ht="12.75">
      <c r="A32" s="646"/>
      <c r="B32" s="648" t="s">
        <v>554</v>
      </c>
    </row>
    <row r="33" spans="1:10" s="235" customFormat="1" ht="12.75">
      <c r="A33" s="646"/>
      <c r="B33" s="652"/>
    </row>
    <row r="34" spans="1:10" s="649" customFormat="1" ht="14.1" customHeight="1" thickBot="1">
      <c r="B34" s="650" t="s">
        <v>1</v>
      </c>
      <c r="C34" s="651"/>
      <c r="D34" s="651"/>
      <c r="E34" s="651"/>
      <c r="F34" s="651"/>
      <c r="G34" s="651"/>
      <c r="H34" s="651"/>
      <c r="I34" s="651"/>
      <c r="J34" s="651"/>
    </row>
    <row r="35" spans="1:10" s="235" customFormat="1" ht="13.5" thickTop="1">
      <c r="A35" s="646"/>
      <c r="B35" s="648" t="s">
        <v>176</v>
      </c>
    </row>
    <row r="36" spans="1:10" s="235" customFormat="1" ht="12.75">
      <c r="A36" s="646"/>
      <c r="B36" s="648" t="s">
        <v>178</v>
      </c>
    </row>
    <row r="37" spans="1:10" s="235" customFormat="1" ht="12.75">
      <c r="A37" s="646"/>
      <c r="B37" s="648" t="s">
        <v>182</v>
      </c>
    </row>
    <row r="38" spans="1:10" s="235" customFormat="1" ht="12.75">
      <c r="A38" s="646"/>
      <c r="B38" s="648" t="s">
        <v>185</v>
      </c>
    </row>
    <row r="39" spans="1:10" s="235" customFormat="1" ht="12.75">
      <c r="A39" s="646"/>
      <c r="B39" s="648" t="s">
        <v>866</v>
      </c>
    </row>
    <row r="40" spans="1:10" s="235" customFormat="1" ht="12.75">
      <c r="A40" s="646"/>
    </row>
    <row r="41" spans="1:10" s="649" customFormat="1" ht="14.1" customHeight="1" thickBot="1">
      <c r="B41" s="650" t="s">
        <v>736</v>
      </c>
      <c r="C41" s="651"/>
      <c r="D41" s="651"/>
      <c r="E41" s="651"/>
      <c r="F41" s="651"/>
      <c r="G41" s="651"/>
      <c r="H41" s="651"/>
      <c r="I41" s="651"/>
      <c r="J41" s="651"/>
    </row>
    <row r="42" spans="1:10" s="235" customFormat="1" ht="13.5" thickTop="1">
      <c r="A42" s="646"/>
      <c r="B42" s="648" t="s">
        <v>736</v>
      </c>
    </row>
    <row r="43" spans="1:10" s="235" customFormat="1" ht="12.75">
      <c r="A43" s="646"/>
    </row>
    <row r="44" spans="1:10" s="649" customFormat="1" ht="14.1" customHeight="1" thickBot="1">
      <c r="B44" s="650" t="s">
        <v>0</v>
      </c>
      <c r="C44" s="651"/>
      <c r="D44" s="651"/>
      <c r="E44" s="651"/>
      <c r="F44" s="651"/>
      <c r="G44" s="651"/>
      <c r="H44" s="651"/>
      <c r="I44" s="651"/>
      <c r="J44" s="651"/>
    </row>
    <row r="45" spans="1:10" s="235" customFormat="1" ht="13.5" thickTop="1">
      <c r="A45" s="646"/>
      <c r="B45" s="647" t="s">
        <v>224</v>
      </c>
    </row>
    <row r="46" spans="1:10" s="235" customFormat="1" ht="12.75">
      <c r="A46" s="646"/>
      <c r="B46" s="647" t="s">
        <v>225</v>
      </c>
    </row>
    <row r="47" spans="1:10" s="235" customFormat="1" ht="12.75">
      <c r="A47" s="646"/>
      <c r="B47" s="652"/>
    </row>
    <row r="48" spans="1:10" s="235" customFormat="1" ht="12.75">
      <c r="A48" s="646"/>
    </row>
    <row r="49" spans="1:7" s="235" customFormat="1" ht="11.25" customHeight="1">
      <c r="A49" s="646"/>
      <c r="B49" s="653"/>
      <c r="C49" s="653"/>
      <c r="D49" s="653"/>
      <c r="E49" s="653"/>
      <c r="F49" s="653"/>
      <c r="G49" s="653"/>
    </row>
    <row r="50" spans="1:7" s="235" customFormat="1" ht="11.25" customHeight="1">
      <c r="A50" s="646"/>
      <c r="B50" s="653"/>
      <c r="C50" s="653"/>
      <c r="D50" s="653"/>
      <c r="E50" s="653"/>
      <c r="F50" s="653"/>
      <c r="G50" s="653"/>
    </row>
    <row r="51" spans="1:7" s="235" customFormat="1" ht="12.75">
      <c r="A51" s="646"/>
    </row>
  </sheetData>
  <hyperlinks>
    <hyperlink ref="B12" location="'EEFF Consolidados'!A1" display="Estados financieros trimestrales - IFRS" xr:uid="{00000000-0004-0000-0000-000000000000}"/>
    <hyperlink ref="B14" location="'EEFF anteriores - Colgaaps'!A1" display="Estados financieros trimestrales - ColGAAPS" xr:uid="{00000000-0004-0000-0000-000001000000}"/>
    <hyperlink ref="B15" location="'Flujo de Efectivo'!A1" display="Flujo de efectivo anual" xr:uid="{00000000-0004-0000-0000-000002000000}"/>
    <hyperlink ref="B16" location="'Anexos Fros'!A1" display="Anexos - financieros:" xr:uid="{00000000-0004-0000-0000-000003000000}"/>
    <hyperlink ref="B17" location="'Anexos Fros'!A4" display="Segregación ingresos de generación" xr:uid="{00000000-0004-0000-0000-000004000000}"/>
    <hyperlink ref="B18" location="'Anexos Fros'!A33" display="Segregación ebitda por negocio" xr:uid="{00000000-0004-0000-0000-000005000000}"/>
    <hyperlink ref="B19" location="'Anexos Fros'!A57" display="Histórico de dividendo por acción" xr:uid="{00000000-0004-0000-0000-000007000000}"/>
    <hyperlink ref="B23" location="'Anexos Ops. PxQ'!C2" display="Indicadores operacionales" xr:uid="{00000000-0004-0000-0000-000008000000}"/>
    <hyperlink ref="B24" location="'Anexos Ops. PxQ'!C5" display="G" xr:uid="{00000000-0004-0000-0000-000009000000}"/>
    <hyperlink ref="B25" location="'Anexos Ops. PxQ'!C73" display="T&amp;D" xr:uid="{00000000-0004-0000-0000-00000A000000}"/>
    <hyperlink ref="B26" location="'Anexos Ops. PxQ'!C86" display="C" xr:uid="{00000000-0004-0000-0000-00000B000000}"/>
    <hyperlink ref="B35" location="'DES activos'!B4" display="Capacidad instalada centrales" xr:uid="{00000000-0004-0000-0000-00000C000000}"/>
    <hyperlink ref="B36" location="'DES activos'!B72" display="Obligaciones de Energía en Firme actuales" xr:uid="{00000000-0004-0000-0000-00000D000000}"/>
    <hyperlink ref="B37" location="'DES activos'!B87" display="Heat rate aproximado centrales térmicas Colombia" xr:uid="{00000000-0004-0000-0000-00000E000000}"/>
    <hyperlink ref="B38" location="'DES Contratos CA'!A1" display="Información contratos Centroamérica" xr:uid="{00000000-0004-0000-0000-00000F000000}"/>
    <hyperlink ref="B45" location="'Fuentes info Col'!A1" display="Fuentes de información Colombia" xr:uid="{00000000-0004-0000-0000-000011000000}"/>
    <hyperlink ref="B46" location="'Fuentes info CA'!A1" display="Fuentes de información Centroamérica" xr:uid="{00000000-0004-0000-0000-000012000000}"/>
    <hyperlink ref="B20" location="'Anexos Fros'!B56" display="Costo de ventas" xr:uid="{B2577EB7-E9D7-46A2-832D-FFD8D9BA1173}"/>
    <hyperlink ref="B13" location="'EEFF por seg. y cía'!A1" display="Estados financieros trimestrales por segmento y compañía - IFRS" xr:uid="{7E6F6CFF-E761-49BF-A934-0EA116AF33ED}"/>
    <hyperlink ref="B29" location="ESG!B5" display="Dimensión económica / gobernanza" xr:uid="{56DBF216-1CA8-4A5C-8BC6-B395ADB47467}"/>
    <hyperlink ref="B30" location="ESG!B23" display="Dimensión social" xr:uid="{BFFAD692-5E0A-45BA-80C6-D43206809EE3}"/>
    <hyperlink ref="B31" location="ESG!B37" display="Dimensión ambiental" xr:uid="{E7A2EC03-4FE0-46AA-B657-9AE28A17A5A8}"/>
    <hyperlink ref="B32" location="ESG!B54" display="Vínculos de interés" xr:uid="{E1103AE0-9606-4035-8B05-34ED24098AEA}"/>
    <hyperlink ref="B39" location="'DES Ing. OR'!B2" display="Aproximación al ingreso del OR " xr:uid="{65FC93AD-D092-48D5-A4B1-615B2A90AA6B}"/>
    <hyperlink ref="B42" location="FAQs!B2" display="FAQs" xr:uid="{67C2DCEB-83B7-498E-B21E-2F6C96C986CC}"/>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J29"/>
  <sheetViews>
    <sheetView showGridLines="0" zoomScaleNormal="100" workbookViewId="0">
      <pane xSplit="2" ySplit="5" topLeftCell="C6" activePane="bottomRight" state="frozen"/>
      <selection activeCell="E35" sqref="E35"/>
      <selection pane="topRight" activeCell="E35" sqref="E35"/>
      <selection pane="bottomLeft" activeCell="E35" sqref="E35"/>
      <selection pane="bottomRight" activeCell="A6" sqref="A6"/>
    </sheetView>
  </sheetViews>
  <sheetFormatPr baseColWidth="10" defaultColWidth="12.5703125" defaultRowHeight="11.25"/>
  <cols>
    <col min="1" max="1" width="1.140625" style="345" customWidth="1"/>
    <col min="2" max="2" width="43" style="228" customWidth="1"/>
    <col min="3" max="3" width="6" style="345" bestFit="1" customWidth="1"/>
    <col min="4" max="4" width="7.42578125" style="345" bestFit="1" customWidth="1"/>
    <col min="5" max="5" width="7.7109375" style="345" bestFit="1" customWidth="1"/>
    <col min="6" max="6" width="9.85546875" style="345" bestFit="1" customWidth="1"/>
    <col min="7" max="7" width="7.28515625" style="345" bestFit="1" customWidth="1"/>
    <col min="8" max="8" width="11.42578125" style="345" bestFit="1" customWidth="1"/>
    <col min="9" max="9" width="9.85546875" style="345" bestFit="1" customWidth="1"/>
    <col min="10" max="10" width="36.140625" style="345" customWidth="1"/>
    <col min="11" max="16384" width="12.5703125" style="345"/>
  </cols>
  <sheetData>
    <row r="2" spans="2:10">
      <c r="B2" s="344" t="s">
        <v>407</v>
      </c>
    </row>
    <row r="3" spans="2:10">
      <c r="B3" s="346" t="s">
        <v>406</v>
      </c>
    </row>
    <row r="5" spans="2:10" s="153" customFormat="1" ht="35.25" customHeight="1">
      <c r="B5" s="347"/>
      <c r="C5" s="152" t="s">
        <v>292</v>
      </c>
      <c r="D5" s="152" t="s">
        <v>408</v>
      </c>
      <c r="E5" s="152" t="s">
        <v>293</v>
      </c>
      <c r="F5" s="152" t="s">
        <v>298</v>
      </c>
      <c r="G5" s="152" t="s">
        <v>334</v>
      </c>
      <c r="H5" s="152" t="s">
        <v>294</v>
      </c>
      <c r="I5" s="152" t="s">
        <v>297</v>
      </c>
      <c r="J5" s="155" t="s">
        <v>324</v>
      </c>
    </row>
    <row r="6" spans="2:10">
      <c r="B6" s="348" t="s">
        <v>679</v>
      </c>
      <c r="C6" s="349"/>
      <c r="D6" s="349"/>
      <c r="E6" s="350"/>
      <c r="F6" s="350"/>
      <c r="G6" s="350"/>
      <c r="H6" s="350"/>
      <c r="I6" s="351"/>
      <c r="J6" s="352" t="s">
        <v>404</v>
      </c>
    </row>
    <row r="7" spans="2:10">
      <c r="B7" s="228" t="s">
        <v>295</v>
      </c>
      <c r="C7" s="151">
        <v>0</v>
      </c>
      <c r="D7" s="151">
        <v>600</v>
      </c>
      <c r="E7" s="151">
        <f>+D7*1000</f>
        <v>600000</v>
      </c>
      <c r="F7" s="151">
        <v>0</v>
      </c>
      <c r="G7" s="151">
        <f ca="1">62*(1+1.9%)^(C29-2015)</f>
        <v>70.731192070924209</v>
      </c>
      <c r="H7" s="151" t="s">
        <v>296</v>
      </c>
      <c r="I7" s="151">
        <f ca="1">+E7*G7</f>
        <v>42438715.242554523</v>
      </c>
      <c r="J7" s="352" t="s">
        <v>328</v>
      </c>
    </row>
    <row r="8" spans="2:10">
      <c r="B8" s="228" t="s">
        <v>299</v>
      </c>
      <c r="C8" s="151">
        <f>18+62+15+5</f>
        <v>100</v>
      </c>
      <c r="D8" s="151">
        <v>0</v>
      </c>
      <c r="E8" s="151">
        <v>0</v>
      </c>
      <c r="F8" s="151">
        <f ca="1">24.5*(1+1.92%)^(C29-2015)</f>
        <v>27.988652450352777</v>
      </c>
      <c r="G8" s="151"/>
      <c r="H8" s="151" t="s">
        <v>695</v>
      </c>
      <c r="I8" s="151">
        <f ca="1">+C8*F8*1000*12</f>
        <v>33586382.940423332</v>
      </c>
      <c r="J8" s="352" t="s">
        <v>344</v>
      </c>
    </row>
    <row r="9" spans="2:10">
      <c r="B9" s="353" t="s">
        <v>403</v>
      </c>
      <c r="C9" s="354"/>
      <c r="D9" s="354"/>
      <c r="E9" s="355">
        <f>+E7</f>
        <v>600000</v>
      </c>
      <c r="F9" s="355"/>
      <c r="G9" s="355">
        <f ca="1">+I9/E7</f>
        <v>126.70849697162976</v>
      </c>
      <c r="H9" s="355"/>
      <c r="I9" s="355">
        <f ca="1">SUM(I7:I8)</f>
        <v>76025098.182977855</v>
      </c>
      <c r="J9" s="352"/>
    </row>
    <row r="10" spans="2:10">
      <c r="B10" s="356"/>
      <c r="C10" s="349"/>
      <c r="D10" s="349"/>
      <c r="E10" s="350"/>
      <c r="F10" s="350"/>
      <c r="G10" s="350"/>
      <c r="H10" s="350"/>
      <c r="I10" s="350"/>
      <c r="J10" s="352"/>
    </row>
    <row r="11" spans="2:10">
      <c r="B11" s="348" t="s">
        <v>680</v>
      </c>
      <c r="C11" s="349"/>
      <c r="D11" s="349"/>
      <c r="E11" s="350"/>
      <c r="F11" s="350"/>
      <c r="G11" s="350"/>
      <c r="H11" s="350"/>
      <c r="I11" s="351"/>
      <c r="J11" s="352" t="s">
        <v>858</v>
      </c>
    </row>
    <row r="12" spans="2:10">
      <c r="B12" s="228" t="s">
        <v>295</v>
      </c>
      <c r="C12" s="151"/>
      <c r="D12" s="151">
        <v>200</v>
      </c>
      <c r="E12" s="151">
        <f>+D12*1000</f>
        <v>200000</v>
      </c>
      <c r="F12" s="151"/>
      <c r="G12" s="151">
        <f>+(97*(0.416666666666667))+((38*(0.583333333333333)))</f>
        <v>62.583333333333357</v>
      </c>
      <c r="H12" s="151" t="s">
        <v>296</v>
      </c>
      <c r="I12" s="151">
        <f>+E12*G12</f>
        <v>12516666.666666672</v>
      </c>
      <c r="J12" s="352" t="s">
        <v>762</v>
      </c>
    </row>
    <row r="13" spans="2:10">
      <c r="B13" s="353" t="s">
        <v>403</v>
      </c>
      <c r="C13" s="354"/>
      <c r="D13" s="354"/>
      <c r="E13" s="355">
        <f>+E12</f>
        <v>200000</v>
      </c>
      <c r="F13" s="355"/>
      <c r="G13" s="355">
        <f>+I13/E12</f>
        <v>62.583333333333357</v>
      </c>
      <c r="H13" s="355"/>
      <c r="I13" s="355">
        <f>SUM(I12:I12)</f>
        <v>12516666.666666672</v>
      </c>
      <c r="J13" s="352"/>
    </row>
    <row r="14" spans="2:10">
      <c r="B14" s="356"/>
      <c r="C14" s="349"/>
      <c r="D14" s="349"/>
      <c r="E14" s="350"/>
      <c r="F14" s="350"/>
      <c r="G14" s="350"/>
      <c r="H14" s="350"/>
      <c r="I14" s="350"/>
      <c r="J14" s="352"/>
    </row>
    <row r="15" spans="2:10">
      <c r="B15" s="348" t="s">
        <v>681</v>
      </c>
      <c r="C15" s="349"/>
      <c r="D15" s="349"/>
      <c r="E15" s="350"/>
      <c r="F15" s="350"/>
      <c r="G15" s="350"/>
      <c r="H15" s="350"/>
      <c r="I15" s="350"/>
    </row>
    <row r="16" spans="2:10">
      <c r="B16" s="357" t="s">
        <v>856</v>
      </c>
      <c r="C16" s="151">
        <v>147.69999999999999</v>
      </c>
      <c r="D16" s="151">
        <v>0</v>
      </c>
      <c r="E16" s="349"/>
      <c r="F16" s="349">
        <f>4.38+0.594</f>
        <v>4.9740000000000002</v>
      </c>
      <c r="G16" s="349"/>
      <c r="H16" s="151" t="s">
        <v>695</v>
      </c>
      <c r="I16" s="151">
        <f>C16*F16*12*1000</f>
        <v>8815917.6000000015</v>
      </c>
      <c r="J16" s="345" t="s">
        <v>696</v>
      </c>
    </row>
    <row r="17" spans="2:10">
      <c r="B17" s="357" t="s">
        <v>857</v>
      </c>
      <c r="C17" s="151">
        <v>24.9</v>
      </c>
      <c r="D17" s="151">
        <v>0</v>
      </c>
      <c r="E17" s="349"/>
      <c r="F17" s="349">
        <f>5.1+0.594</f>
        <v>5.694</v>
      </c>
      <c r="G17" s="349"/>
      <c r="H17" s="151" t="s">
        <v>695</v>
      </c>
      <c r="I17" s="151">
        <f>C17*F17*10*1000</f>
        <v>1417806</v>
      </c>
      <c r="J17" s="345" t="s">
        <v>697</v>
      </c>
    </row>
    <row r="18" spans="2:10">
      <c r="B18" s="357" t="s">
        <v>859</v>
      </c>
      <c r="C18" s="151"/>
      <c r="D18" s="151"/>
      <c r="E18" s="349"/>
      <c r="F18" s="349"/>
      <c r="G18" s="349"/>
      <c r="H18" s="151"/>
      <c r="I18" s="151"/>
      <c r="J18" s="345" t="s">
        <v>855</v>
      </c>
    </row>
    <row r="19" spans="2:10">
      <c r="B19" s="357"/>
      <c r="C19" s="151"/>
      <c r="D19" s="151"/>
      <c r="E19" s="349"/>
      <c r="F19" s="349"/>
      <c r="G19" s="349"/>
      <c r="H19" s="151"/>
      <c r="I19" s="151"/>
    </row>
    <row r="20" spans="2:10">
      <c r="B20" s="348" t="s">
        <v>326</v>
      </c>
      <c r="C20" s="151"/>
      <c r="D20" s="151"/>
      <c r="E20" s="349"/>
      <c r="F20" s="349"/>
      <c r="G20" s="349"/>
      <c r="H20" s="151"/>
      <c r="I20" s="151"/>
    </row>
    <row r="21" spans="2:10">
      <c r="B21" s="357" t="s">
        <v>853</v>
      </c>
      <c r="C21" s="151"/>
      <c r="D21" s="151"/>
      <c r="E21" s="349"/>
      <c r="F21" s="349"/>
      <c r="G21" s="349"/>
      <c r="H21" s="151" t="s">
        <v>296</v>
      </c>
      <c r="I21" s="151"/>
      <c r="J21" s="345" t="s">
        <v>855</v>
      </c>
    </row>
    <row r="22" spans="2:10">
      <c r="B22" s="357" t="s">
        <v>854</v>
      </c>
      <c r="C22" s="151"/>
      <c r="D22" s="151"/>
      <c r="E22" s="349"/>
      <c r="F22" s="349"/>
      <c r="G22" s="349"/>
      <c r="H22" s="151" t="s">
        <v>296</v>
      </c>
      <c r="I22" s="151"/>
      <c r="J22" s="345" t="s">
        <v>855</v>
      </c>
    </row>
    <row r="23" spans="2:10">
      <c r="B23" s="357"/>
      <c r="C23" s="151"/>
      <c r="D23" s="151"/>
      <c r="E23" s="349"/>
      <c r="F23" s="349"/>
      <c r="G23" s="349"/>
      <c r="H23" s="151"/>
      <c r="I23" s="151"/>
    </row>
    <row r="24" spans="2:10" ht="54.75" customHeight="1">
      <c r="B24" s="665" t="s">
        <v>402</v>
      </c>
      <c r="C24" s="665"/>
      <c r="D24" s="665"/>
      <c r="E24" s="665"/>
      <c r="F24" s="665"/>
      <c r="G24" s="665"/>
      <c r="H24" s="665"/>
      <c r="I24" s="665"/>
    </row>
    <row r="25" spans="2:10">
      <c r="B25" s="228" t="s">
        <v>682</v>
      </c>
    </row>
    <row r="29" spans="2:10">
      <c r="B29" s="230" t="s">
        <v>405</v>
      </c>
      <c r="C29" s="229">
        <f ca="1">YEAR(TODAY())</f>
        <v>2022</v>
      </c>
    </row>
  </sheetData>
  <mergeCells count="1">
    <mergeCell ref="B24:I24"/>
  </mergeCells>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1C421-6F0E-4175-AE83-1C037FA1D510}">
  <dimension ref="B2:Q79"/>
  <sheetViews>
    <sheetView showGridLines="0" zoomScaleNormal="100" workbookViewId="0">
      <pane xSplit="3" ySplit="4" topLeftCell="D5" activePane="bottomRight" state="frozen"/>
      <selection pane="topRight" activeCell="D1" sqref="D1"/>
      <selection pane="bottomLeft" activeCell="A6" sqref="A6"/>
      <selection pane="bottomRight" activeCell="D45" sqref="D45"/>
    </sheetView>
  </sheetViews>
  <sheetFormatPr baseColWidth="10" defaultRowHeight="12" customHeight="1" outlineLevelRow="1"/>
  <cols>
    <col min="1" max="1" width="4.7109375" style="429" customWidth="1"/>
    <col min="2" max="2" width="34.85546875" style="429" customWidth="1"/>
    <col min="3" max="3" width="13.140625" style="440" customWidth="1"/>
    <col min="4" max="4" width="11" style="446" customWidth="1"/>
    <col min="5" max="5" width="11" style="441" customWidth="1"/>
    <col min="6" max="6" width="42.28515625" style="458" customWidth="1"/>
    <col min="7" max="16384" width="11.42578125" style="429"/>
  </cols>
  <sheetData>
    <row r="2" spans="2:17" ht="12" customHeight="1">
      <c r="B2" s="442" t="s">
        <v>866</v>
      </c>
    </row>
    <row r="4" spans="2:17" s="423" customFormat="1" ht="12" customHeight="1">
      <c r="C4" s="454" t="s">
        <v>804</v>
      </c>
      <c r="D4" s="463">
        <v>2020</v>
      </c>
      <c r="E4" s="424">
        <v>2021</v>
      </c>
      <c r="F4" s="456" t="s">
        <v>749</v>
      </c>
    </row>
    <row r="5" spans="2:17" ht="12" customHeight="1">
      <c r="B5" s="425" t="s">
        <v>836</v>
      </c>
      <c r="C5" s="426"/>
      <c r="D5" s="464"/>
      <c r="E5" s="427"/>
      <c r="F5" s="457"/>
      <c r="G5" s="428"/>
      <c r="H5" s="428"/>
      <c r="I5" s="428"/>
      <c r="J5" s="428"/>
      <c r="K5" s="428"/>
      <c r="L5" s="428"/>
      <c r="M5" s="428"/>
      <c r="N5" s="428"/>
    </row>
    <row r="6" spans="2:17" s="430" customFormat="1" ht="12" hidden="1" customHeight="1" outlineLevel="1">
      <c r="B6" s="430" t="s">
        <v>799</v>
      </c>
      <c r="C6" s="431">
        <v>1</v>
      </c>
      <c r="D6" s="431">
        <f>C6*(1+C7)</f>
        <v>1.0349999999999999</v>
      </c>
      <c r="E6" s="431">
        <f>D6*(1+D7)</f>
        <v>1.0712249999999999</v>
      </c>
      <c r="F6" s="457"/>
      <c r="G6" s="428"/>
      <c r="H6" s="428"/>
      <c r="I6" s="428"/>
      <c r="J6" s="428"/>
      <c r="K6" s="428"/>
      <c r="L6" s="428"/>
      <c r="M6" s="428"/>
      <c r="N6" s="428"/>
      <c r="O6" s="432"/>
      <c r="P6" s="432"/>
      <c r="Q6" s="432"/>
    </row>
    <row r="7" spans="2:17" s="435" customFormat="1" ht="12" hidden="1" customHeight="1" outlineLevel="1">
      <c r="B7" s="430" t="s">
        <v>800</v>
      </c>
      <c r="C7" s="433">
        <v>3.5000000000000003E-2</v>
      </c>
      <c r="D7" s="433">
        <v>3.5000000000000003E-2</v>
      </c>
      <c r="E7" s="433">
        <v>3.5000000000000003E-2</v>
      </c>
      <c r="F7" s="457"/>
      <c r="G7" s="428"/>
      <c r="H7" s="428"/>
      <c r="I7" s="428"/>
      <c r="J7" s="428"/>
      <c r="K7" s="428"/>
      <c r="L7" s="428"/>
      <c r="M7" s="428"/>
      <c r="N7" s="428"/>
      <c r="O7" s="434"/>
      <c r="P7" s="434"/>
      <c r="Q7" s="434"/>
    </row>
    <row r="8" spans="2:17" s="435" customFormat="1" ht="12" hidden="1" customHeight="1" outlineLevel="1">
      <c r="B8" s="430" t="s">
        <v>801</v>
      </c>
      <c r="C8" s="433">
        <v>3.4461955650916351E-2</v>
      </c>
      <c r="D8" s="433">
        <v>3.346195565091635E-2</v>
      </c>
      <c r="E8" s="433">
        <v>3.2461955650916349E-2</v>
      </c>
      <c r="F8" s="457"/>
      <c r="G8" s="428"/>
      <c r="H8" s="428"/>
      <c r="I8" s="428"/>
      <c r="J8" s="428"/>
      <c r="K8" s="428"/>
      <c r="L8" s="428"/>
      <c r="M8" s="428"/>
      <c r="N8" s="428"/>
      <c r="O8" s="434"/>
      <c r="P8" s="434"/>
      <c r="Q8" s="434"/>
    </row>
    <row r="9" spans="2:17" s="435" customFormat="1" ht="12" hidden="1" customHeight="1" outlineLevel="1">
      <c r="B9" s="430" t="s">
        <v>802</v>
      </c>
      <c r="C9" s="436">
        <v>0.02</v>
      </c>
      <c r="D9" s="436">
        <v>0.02</v>
      </c>
      <c r="E9" s="436">
        <v>0.02</v>
      </c>
      <c r="F9" s="457"/>
      <c r="G9" s="428"/>
      <c r="H9" s="428"/>
      <c r="I9" s="428"/>
      <c r="J9" s="428"/>
      <c r="K9" s="428"/>
      <c r="L9" s="428"/>
      <c r="M9" s="428"/>
      <c r="N9" s="428"/>
      <c r="O9" s="437"/>
      <c r="P9" s="437"/>
      <c r="Q9" s="437"/>
    </row>
    <row r="10" spans="2:17" s="430" customFormat="1" ht="12" hidden="1" customHeight="1" outlineLevel="1">
      <c r="B10" s="430" t="s">
        <v>803</v>
      </c>
      <c r="C10" s="438">
        <v>1</v>
      </c>
      <c r="D10" s="438">
        <v>1.02</v>
      </c>
      <c r="E10" s="438">
        <v>1.0404</v>
      </c>
      <c r="F10" s="457"/>
      <c r="G10" s="428"/>
      <c r="H10" s="428"/>
      <c r="I10" s="428"/>
      <c r="J10" s="428"/>
      <c r="K10" s="428"/>
      <c r="L10" s="428"/>
      <c r="M10" s="428"/>
      <c r="N10" s="428"/>
      <c r="O10" s="439"/>
      <c r="P10" s="439"/>
      <c r="Q10" s="439"/>
    </row>
    <row r="11" spans="2:17" ht="12" customHeight="1" collapsed="1"/>
    <row r="12" spans="2:17" ht="12" customHeight="1">
      <c r="B12" s="475" t="s">
        <v>469</v>
      </c>
    </row>
    <row r="14" spans="2:17" ht="12" customHeight="1">
      <c r="B14" s="442" t="s">
        <v>820</v>
      </c>
    </row>
    <row r="15" spans="2:17" ht="12" customHeight="1">
      <c r="B15" s="444" t="s">
        <v>805</v>
      </c>
      <c r="C15" s="440">
        <v>30</v>
      </c>
      <c r="D15" s="445"/>
      <c r="E15" s="440"/>
    </row>
    <row r="16" spans="2:17" ht="12" customHeight="1">
      <c r="B16" s="444" t="s">
        <v>806</v>
      </c>
      <c r="C16" s="445">
        <f>2241296.1045032+153471</f>
        <v>2394767.1045031999</v>
      </c>
      <c r="D16" s="446">
        <f>C16*(1+D8)</f>
        <v>2474900.6951483595</v>
      </c>
      <c r="E16" s="446">
        <f>D16*(1+E$8)</f>
        <v>2555240.8117546872</v>
      </c>
    </row>
    <row r="17" spans="2:6" s="106" customFormat="1" ht="12" customHeight="1">
      <c r="B17" s="447" t="s">
        <v>807</v>
      </c>
      <c r="C17" s="440"/>
      <c r="D17" s="465">
        <f>+$C$16/$C$15</f>
        <v>79825.570150106665</v>
      </c>
      <c r="E17" s="443">
        <f>+$C$16/$C$15</f>
        <v>79825.570150106665</v>
      </c>
      <c r="F17" s="459"/>
    </row>
    <row r="18" spans="2:6" ht="12" customHeight="1">
      <c r="B18" s="448" t="s">
        <v>808</v>
      </c>
      <c r="D18" s="465">
        <f>+D16-D17</f>
        <v>2395075.1249982528</v>
      </c>
      <c r="E18" s="443">
        <f>+D18-D17</f>
        <v>2315249.5548481462</v>
      </c>
    </row>
    <row r="19" spans="2:6" ht="12" customHeight="1">
      <c r="B19" s="448" t="s">
        <v>809</v>
      </c>
      <c r="C19" s="449">
        <v>0.08</v>
      </c>
      <c r="D19" s="450">
        <f>+$C$19</f>
        <v>0.08</v>
      </c>
      <c r="E19" s="450">
        <f>+$C$19</f>
        <v>0.08</v>
      </c>
    </row>
    <row r="20" spans="2:6" ht="12" customHeight="1">
      <c r="B20" s="448" t="s">
        <v>810</v>
      </c>
      <c r="D20" s="465">
        <f>+D16*D19</f>
        <v>197992.05561186877</v>
      </c>
      <c r="E20" s="443">
        <f>+E16*E19</f>
        <v>204419.264940375</v>
      </c>
    </row>
    <row r="21" spans="2:6" ht="12" customHeight="1">
      <c r="B21" s="448" t="s">
        <v>811</v>
      </c>
      <c r="C21" s="451">
        <v>0.1179</v>
      </c>
      <c r="D21" s="451">
        <v>0.1164</v>
      </c>
      <c r="E21" s="451">
        <v>0.115</v>
      </c>
    </row>
    <row r="22" spans="2:6" ht="12" customHeight="1">
      <c r="B22" s="429" t="s">
        <v>812</v>
      </c>
      <c r="D22" s="465">
        <f>(D18+D20)*D21</f>
        <v>301833.01982301817</v>
      </c>
      <c r="E22" s="443">
        <f t="shared" ref="E22" si="0">(E18+E20)*E21</f>
        <v>289761.91427567997</v>
      </c>
    </row>
    <row r="23" spans="2:6" s="106" customFormat="1" ht="12" customHeight="1">
      <c r="B23" s="106" t="s">
        <v>774</v>
      </c>
      <c r="C23" s="445">
        <v>89922</v>
      </c>
      <c r="D23" s="465">
        <f>+C23*(1+D$8)</f>
        <v>92930.965976041698</v>
      </c>
      <c r="E23" s="443">
        <f>+D23*(1+E$8)</f>
        <v>95947.686872152772</v>
      </c>
      <c r="F23" s="460" t="s">
        <v>813</v>
      </c>
    </row>
    <row r="24" spans="2:6" s="106" customFormat="1" ht="12" customHeight="1">
      <c r="B24" s="106" t="s">
        <v>814</v>
      </c>
      <c r="C24" s="445">
        <v>0</v>
      </c>
      <c r="D24" s="465">
        <v>0</v>
      </c>
      <c r="E24" s="443">
        <v>0</v>
      </c>
      <c r="F24" s="460" t="s">
        <v>815</v>
      </c>
    </row>
    <row r="25" spans="2:6" s="442" customFormat="1" ht="12" customHeight="1">
      <c r="B25" s="442" t="s">
        <v>816</v>
      </c>
      <c r="C25" s="453"/>
      <c r="D25" s="466">
        <f>+D22+D17+D23+D24</f>
        <v>474589.55594916653</v>
      </c>
      <c r="E25" s="454">
        <f t="shared" ref="E25" si="1">+E22+E17+E23+E24</f>
        <v>465535.17129793944</v>
      </c>
      <c r="F25" s="461"/>
    </row>
    <row r="27" spans="2:6" ht="12" customHeight="1">
      <c r="B27" s="442" t="s">
        <v>821</v>
      </c>
    </row>
    <row r="28" spans="2:6" ht="12" customHeight="1">
      <c r="B28" s="444" t="s">
        <v>805</v>
      </c>
      <c r="C28" s="445">
        <v>30</v>
      </c>
      <c r="D28" s="445"/>
      <c r="E28" s="440"/>
    </row>
    <row r="29" spans="2:6" ht="12" customHeight="1">
      <c r="B29" s="444" t="s">
        <v>806</v>
      </c>
      <c r="C29" s="445">
        <v>1570863.3899411</v>
      </c>
      <c r="D29" s="446">
        <f>C29-D45</f>
        <v>1000863.3899411</v>
      </c>
      <c r="E29" s="446">
        <f>D29*(1+E$8)</f>
        <v>1033353.3729179937</v>
      </c>
    </row>
    <row r="30" spans="2:6" s="106" customFormat="1" ht="12" customHeight="1">
      <c r="B30" s="447" t="s">
        <v>807</v>
      </c>
      <c r="C30" s="440"/>
      <c r="D30" s="465">
        <f>+$C$29/$C$28</f>
        <v>52362.112998036668</v>
      </c>
      <c r="E30" s="443">
        <f>+$C$29/$C$28</f>
        <v>52362.112998036668</v>
      </c>
      <c r="F30" s="459"/>
    </row>
    <row r="31" spans="2:6" ht="12" customHeight="1">
      <c r="B31" s="448" t="s">
        <v>808</v>
      </c>
      <c r="D31" s="465">
        <f>+D29-D30</f>
        <v>948501.27694306336</v>
      </c>
      <c r="E31" s="443">
        <f t="shared" ref="E31" si="2">+D31-D30</f>
        <v>896139.1639450267</v>
      </c>
    </row>
    <row r="32" spans="2:6" ht="12" customHeight="1">
      <c r="B32" s="444" t="s">
        <v>809</v>
      </c>
      <c r="C32" s="449">
        <v>0.08</v>
      </c>
      <c r="D32" s="450">
        <f>+C32</f>
        <v>0.08</v>
      </c>
      <c r="E32" s="450">
        <f t="shared" ref="E32" si="3">+D32</f>
        <v>0.08</v>
      </c>
    </row>
    <row r="33" spans="2:6" ht="12" customHeight="1">
      <c r="B33" s="448" t="str">
        <f>+$B$20</f>
        <v>Valor inversiones</v>
      </c>
      <c r="D33" s="465">
        <f>+D29*D32</f>
        <v>80069.071195288008</v>
      </c>
      <c r="E33" s="443">
        <f t="shared" ref="E33" si="4">+E29*E32</f>
        <v>82668.269833439495</v>
      </c>
    </row>
    <row r="34" spans="2:6" s="455" customFormat="1" ht="12" customHeight="1">
      <c r="B34" s="448" t="str">
        <f>+$B$21</f>
        <v>WACC (rai)</v>
      </c>
      <c r="C34" s="451"/>
      <c r="D34" s="452">
        <f>+D21</f>
        <v>0.1164</v>
      </c>
      <c r="E34" s="452">
        <f>+E21</f>
        <v>0.115</v>
      </c>
      <c r="F34" s="462"/>
    </row>
    <row r="35" spans="2:6" ht="12" customHeight="1">
      <c r="B35" s="429" t="s">
        <v>812</v>
      </c>
      <c r="D35" s="465">
        <f>+(D31+D33)*D34</f>
        <v>119725.5885233041</v>
      </c>
      <c r="E35" s="443">
        <f t="shared" ref="E35" si="5">+(E31+E33)*E34</f>
        <v>112562.85488452362</v>
      </c>
    </row>
    <row r="36" spans="2:6" ht="12" customHeight="1">
      <c r="B36" s="106" t="s">
        <v>774</v>
      </c>
      <c r="C36" s="445">
        <f>32111.464126/2</f>
        <v>16055.732062999999</v>
      </c>
      <c r="D36" s="465">
        <f>+$C$36</f>
        <v>16055.732062999999</v>
      </c>
      <c r="E36" s="443">
        <f>+$C$36</f>
        <v>16055.732062999999</v>
      </c>
      <c r="F36" s="459" t="s">
        <v>813</v>
      </c>
    </row>
    <row r="37" spans="2:6" ht="12" customHeight="1">
      <c r="B37" s="106" t="s">
        <v>814</v>
      </c>
      <c r="C37" s="445">
        <v>0</v>
      </c>
      <c r="D37" s="465">
        <v>0</v>
      </c>
      <c r="E37" s="443">
        <v>0</v>
      </c>
    </row>
    <row r="38" spans="2:6" s="442" customFormat="1" ht="12" customHeight="1">
      <c r="B38" s="442" t="s">
        <v>817</v>
      </c>
      <c r="C38" s="453"/>
      <c r="D38" s="466">
        <f>+D35+D30+D36+D37</f>
        <v>188143.43358434076</v>
      </c>
      <c r="E38" s="454">
        <f t="shared" ref="E38" si="6">+E35+E30+E36+E37</f>
        <v>180980.69994556028</v>
      </c>
      <c r="F38" s="461"/>
    </row>
    <row r="39" spans="2:6" ht="12" customHeight="1">
      <c r="B39" s="429" t="s">
        <v>818</v>
      </c>
      <c r="D39" s="446">
        <v>214295.790324</v>
      </c>
    </row>
    <row r="41" spans="2:6" ht="12" customHeight="1">
      <c r="B41" s="475" t="s">
        <v>837</v>
      </c>
    </row>
    <row r="42" spans="2:6" ht="12" customHeight="1">
      <c r="B42" s="475"/>
    </row>
    <row r="43" spans="2:6" ht="12" customHeight="1">
      <c r="B43" s="442" t="s">
        <v>838</v>
      </c>
    </row>
    <row r="44" spans="2:6" ht="12" customHeight="1">
      <c r="B44" s="444" t="s">
        <v>805</v>
      </c>
      <c r="C44" s="445">
        <v>30</v>
      </c>
      <c r="D44" s="445"/>
      <c r="E44" s="440"/>
    </row>
    <row r="45" spans="2:6" ht="12" customHeight="1">
      <c r="B45" s="444" t="s">
        <v>806</v>
      </c>
      <c r="C45" s="445"/>
      <c r="D45" s="445">
        <f>1000000-430000</f>
        <v>570000</v>
      </c>
      <c r="E45" s="446">
        <f>D45*(1+E$8)</f>
        <v>588503.31472102227</v>
      </c>
    </row>
    <row r="46" spans="2:6" s="106" customFormat="1" ht="12" customHeight="1">
      <c r="B46" s="447" t="s">
        <v>807</v>
      </c>
      <c r="C46" s="440"/>
      <c r="D46" s="465">
        <f>+$D$45/$C$44</f>
        <v>19000</v>
      </c>
      <c r="E46" s="443">
        <f>+$D$45/$C$44</f>
        <v>19000</v>
      </c>
      <c r="F46" s="459"/>
    </row>
    <row r="47" spans="2:6" ht="12" customHeight="1">
      <c r="B47" s="448" t="s">
        <v>808</v>
      </c>
      <c r="D47" s="465">
        <f>+D45-D46</f>
        <v>551000</v>
      </c>
      <c r="E47" s="443">
        <f>+D47-D46</f>
        <v>532000</v>
      </c>
    </row>
    <row r="48" spans="2:6" ht="12" customHeight="1">
      <c r="B48" s="444" t="s">
        <v>809</v>
      </c>
      <c r="C48" s="449">
        <v>0.04</v>
      </c>
      <c r="D48" s="450">
        <f>+C48</f>
        <v>0.04</v>
      </c>
      <c r="E48" s="450">
        <f t="shared" ref="E48" si="7">+D48</f>
        <v>0.04</v>
      </c>
    </row>
    <row r="49" spans="2:6" ht="12" customHeight="1">
      <c r="B49" s="448" t="str">
        <f>+$B$20</f>
        <v>Valor inversiones</v>
      </c>
      <c r="D49" s="465">
        <f t="shared" ref="D49:E49" si="8">+D45*D48</f>
        <v>22800</v>
      </c>
      <c r="E49" s="443">
        <f t="shared" si="8"/>
        <v>23540.13258884089</v>
      </c>
    </row>
    <row r="50" spans="2:6" s="455" customFormat="1" ht="12" customHeight="1">
      <c r="B50" s="448" t="str">
        <f>+$B$21</f>
        <v>WACC (rai)</v>
      </c>
      <c r="C50" s="451"/>
      <c r="D50" s="452">
        <v>0.115</v>
      </c>
      <c r="E50" s="452">
        <f>+E21</f>
        <v>0.115</v>
      </c>
      <c r="F50" s="462"/>
    </row>
    <row r="51" spans="2:6" ht="12" customHeight="1">
      <c r="B51" s="429" t="s">
        <v>812</v>
      </c>
      <c r="D51" s="465">
        <f>+(D47+D49)*D50</f>
        <v>65987</v>
      </c>
      <c r="E51" s="443">
        <f t="shared" ref="E51" si="9">+(E47+E49)*E50</f>
        <v>63887.115247716705</v>
      </c>
    </row>
    <row r="52" spans="2:6" ht="12" customHeight="1">
      <c r="B52" s="106" t="s">
        <v>774</v>
      </c>
      <c r="C52" s="445">
        <f>32111.464126/2</f>
        <v>16055.732062999999</v>
      </c>
      <c r="D52" s="465">
        <f>+$C$52</f>
        <v>16055.732062999999</v>
      </c>
      <c r="E52" s="443">
        <f>+$C$52</f>
        <v>16055.732062999999</v>
      </c>
      <c r="F52" s="459" t="s">
        <v>813</v>
      </c>
    </row>
    <row r="53" spans="2:6" ht="12" customHeight="1">
      <c r="B53" s="106" t="s">
        <v>814</v>
      </c>
      <c r="C53" s="445">
        <v>0</v>
      </c>
      <c r="D53" s="465">
        <v>0</v>
      </c>
      <c r="E53" s="443">
        <v>0</v>
      </c>
    </row>
    <row r="54" spans="2:6" s="442" customFormat="1" ht="12" customHeight="1">
      <c r="B54" s="442" t="s">
        <v>817</v>
      </c>
      <c r="C54" s="453"/>
      <c r="D54" s="466">
        <f>+D51+D46+D52+D53</f>
        <v>101042.732063</v>
      </c>
      <c r="E54" s="454">
        <f t="shared" ref="E54" si="10">+E51+E46+E52+E53</f>
        <v>98942.847310716708</v>
      </c>
      <c r="F54" s="461"/>
    </row>
    <row r="55" spans="2:6" ht="12" customHeight="1">
      <c r="D55" s="446">
        <v>70000</v>
      </c>
    </row>
    <row r="57" spans="2:6" ht="12" customHeight="1">
      <c r="B57" s="442" t="s">
        <v>822</v>
      </c>
    </row>
    <row r="58" spans="2:6" ht="12" customHeight="1">
      <c r="B58" s="429" t="s">
        <v>819</v>
      </c>
    </row>
    <row r="62" spans="2:6" ht="12" customHeight="1">
      <c r="D62" s="467" t="s">
        <v>494</v>
      </c>
      <c r="E62" s="467" t="s">
        <v>823</v>
      </c>
    </row>
    <row r="63" spans="2:6" ht="12" customHeight="1">
      <c r="D63" s="468" t="s">
        <v>824</v>
      </c>
      <c r="E63" s="469">
        <v>4961</v>
      </c>
      <c r="F63" s="458" t="s">
        <v>831</v>
      </c>
    </row>
    <row r="64" spans="2:6" ht="12" customHeight="1">
      <c r="D64" s="468" t="s">
        <v>825</v>
      </c>
      <c r="E64" s="469">
        <v>1563</v>
      </c>
      <c r="F64" s="458" t="s">
        <v>831</v>
      </c>
    </row>
    <row r="65" spans="2:6" ht="12" customHeight="1">
      <c r="D65" s="468" t="s">
        <v>826</v>
      </c>
      <c r="E65" s="469">
        <v>6285</v>
      </c>
      <c r="F65" s="458" t="s">
        <v>831</v>
      </c>
    </row>
    <row r="66" spans="2:6" ht="12" customHeight="1">
      <c r="D66" s="468" t="s">
        <v>827</v>
      </c>
      <c r="E66" s="469">
        <v>15888</v>
      </c>
      <c r="F66" s="458" t="s">
        <v>831</v>
      </c>
    </row>
    <row r="67" spans="2:6" ht="12" customHeight="1">
      <c r="D67" s="468" t="s">
        <v>828</v>
      </c>
      <c r="E67" s="469">
        <v>13787</v>
      </c>
      <c r="F67" s="458" t="s">
        <v>831</v>
      </c>
    </row>
    <row r="68" spans="2:6" ht="12" customHeight="1">
      <c r="D68" s="468" t="s">
        <v>829</v>
      </c>
      <c r="E68" s="469">
        <v>29743</v>
      </c>
      <c r="F68" s="458" t="s">
        <v>831</v>
      </c>
    </row>
    <row r="69" spans="2:6" ht="12" customHeight="1">
      <c r="D69" s="468" t="s">
        <v>830</v>
      </c>
      <c r="E69" s="470">
        <v>723</v>
      </c>
      <c r="F69" s="458" t="s">
        <v>831</v>
      </c>
    </row>
    <row r="70" spans="2:6" ht="12" customHeight="1">
      <c r="D70" s="471" t="s">
        <v>391</v>
      </c>
      <c r="E70" s="472">
        <v>72951</v>
      </c>
      <c r="F70" s="429"/>
    </row>
    <row r="71" spans="2:6" ht="12" customHeight="1">
      <c r="D71" s="471" t="s">
        <v>832</v>
      </c>
      <c r="E71" s="474">
        <v>0.9</v>
      </c>
    </row>
    <row r="72" spans="2:6" ht="12" customHeight="1">
      <c r="D72" s="429"/>
      <c r="E72" s="474"/>
    </row>
    <row r="73" spans="2:6" ht="12" customHeight="1">
      <c r="D73" s="429"/>
      <c r="E73" s="474"/>
    </row>
    <row r="74" spans="2:6" ht="12" customHeight="1">
      <c r="D74" s="467" t="s">
        <v>494</v>
      </c>
      <c r="E74" s="467" t="s">
        <v>834</v>
      </c>
    </row>
    <row r="75" spans="2:6" ht="12" customHeight="1">
      <c r="D75" s="468" t="s">
        <v>833</v>
      </c>
      <c r="E75" s="473">
        <v>27042</v>
      </c>
      <c r="F75" s="458" t="s">
        <v>835</v>
      </c>
    </row>
    <row r="76" spans="2:6" ht="12" customHeight="1">
      <c r="D76" s="471" t="s">
        <v>832</v>
      </c>
      <c r="E76" s="474">
        <v>0.86499999999999999</v>
      </c>
    </row>
    <row r="78" spans="2:6" ht="12" customHeight="1">
      <c r="B78" s="429" t="s">
        <v>839</v>
      </c>
      <c r="C78" s="474">
        <v>0.51</v>
      </c>
    </row>
    <row r="79" spans="2:6" ht="12" customHeight="1">
      <c r="B79" s="429" t="s">
        <v>840</v>
      </c>
      <c r="C79" s="474">
        <v>0.8</v>
      </c>
    </row>
  </sheetData>
  <autoFilter ref="B4:Q40" xr:uid="{A5FA4BF1-CAD6-424D-ADF7-20D89369836E}"/>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BBF7C-2A0B-48F3-BFD1-86DD548B57DE}">
  <dimension ref="B2:D25"/>
  <sheetViews>
    <sheetView showGridLines="0" workbookViewId="0">
      <pane ySplit="4" topLeftCell="A5" activePane="bottomLeft" state="frozen"/>
      <selection pane="bottomLeft" activeCell="B30" sqref="B30"/>
    </sheetView>
  </sheetViews>
  <sheetFormatPr baseColWidth="10" defaultRowHeight="12.75" outlineLevelRow="1"/>
  <cols>
    <col min="1" max="1" width="11.42578125" style="366"/>
    <col min="2" max="2" width="20.85546875" style="487" customWidth="1"/>
    <col min="3" max="3" width="16.42578125" style="366" customWidth="1"/>
    <col min="4" max="4" width="129.140625" style="366" customWidth="1"/>
    <col min="5" max="16384" width="11.42578125" style="366"/>
  </cols>
  <sheetData>
    <row r="2" spans="2:4">
      <c r="B2" s="488" t="s">
        <v>736</v>
      </c>
      <c r="C2" s="365"/>
    </row>
    <row r="3" spans="2:4">
      <c r="B3" s="488"/>
      <c r="C3" s="365"/>
    </row>
    <row r="4" spans="2:4">
      <c r="B4" s="488" t="s">
        <v>755</v>
      </c>
      <c r="C4" s="365" t="s">
        <v>756</v>
      </c>
      <c r="D4" s="365" t="s">
        <v>757</v>
      </c>
    </row>
    <row r="6" spans="2:4" s="368" customFormat="1">
      <c r="B6" s="489" t="s">
        <v>300</v>
      </c>
      <c r="C6" s="367"/>
    </row>
    <row r="7" spans="2:4" hidden="1" outlineLevel="1">
      <c r="B7" s="370"/>
      <c r="C7" s="369"/>
      <c r="D7" s="370"/>
    </row>
    <row r="8" spans="2:4" ht="89.25" hidden="1" outlineLevel="1">
      <c r="B8" s="370" t="s">
        <v>885</v>
      </c>
      <c r="C8" s="394">
        <v>44614</v>
      </c>
      <c r="D8" s="370" t="s">
        <v>886</v>
      </c>
    </row>
    <row r="9" spans="2:4" ht="63.75" hidden="1" outlineLevel="1">
      <c r="B9" s="370" t="s">
        <v>860</v>
      </c>
      <c r="C9" s="369"/>
      <c r="D9" s="370" t="s">
        <v>864</v>
      </c>
    </row>
    <row r="10" spans="2:4" ht="63.75" hidden="1" outlineLevel="1">
      <c r="B10" s="370" t="s">
        <v>861</v>
      </c>
      <c r="C10" s="369"/>
      <c r="D10" s="370" t="s">
        <v>862</v>
      </c>
    </row>
    <row r="11" spans="2:4" ht="165.75" hidden="1" outlineLevel="1">
      <c r="B11" s="370" t="s">
        <v>887</v>
      </c>
      <c r="C11" s="394">
        <v>44498</v>
      </c>
      <c r="D11" s="490" t="s">
        <v>863</v>
      </c>
    </row>
    <row r="12" spans="2:4" hidden="1" outlineLevel="1">
      <c r="B12" s="370"/>
      <c r="C12" s="369"/>
      <c r="D12" s="370"/>
    </row>
    <row r="13" spans="2:4" hidden="1" outlineLevel="1"/>
    <row r="14" spans="2:4" collapsed="1"/>
    <row r="15" spans="2:4" s="368" customFormat="1">
      <c r="B15" s="489" t="s">
        <v>738</v>
      </c>
      <c r="C15" s="367"/>
    </row>
    <row r="16" spans="2:4" hidden="1" outlineLevel="1">
      <c r="B16" s="370"/>
      <c r="C16" s="369"/>
      <c r="D16" s="370"/>
    </row>
    <row r="17" spans="2:4" hidden="1" outlineLevel="1">
      <c r="B17" s="370"/>
      <c r="C17" s="369"/>
      <c r="D17" s="370"/>
    </row>
    <row r="18" spans="2:4" hidden="1" outlineLevel="1">
      <c r="B18" s="396"/>
      <c r="C18" s="395"/>
      <c r="D18" s="396"/>
    </row>
    <row r="19" spans="2:4" collapsed="1"/>
    <row r="20" spans="2:4" s="368" customFormat="1">
      <c r="B20" s="489" t="s">
        <v>890</v>
      </c>
      <c r="C20" s="367"/>
    </row>
    <row r="21" spans="2:4" hidden="1" outlineLevel="1">
      <c r="B21" s="370"/>
      <c r="C21" s="394"/>
      <c r="D21" s="370"/>
    </row>
    <row r="22" spans="2:4" ht="51" hidden="1" outlineLevel="1">
      <c r="B22" s="370" t="s">
        <v>888</v>
      </c>
      <c r="C22" s="394"/>
      <c r="D22" s="370" t="s">
        <v>889</v>
      </c>
    </row>
    <row r="23" spans="2:4" ht="127.5" hidden="1" outlineLevel="1">
      <c r="B23" s="370" t="s">
        <v>737</v>
      </c>
      <c r="C23" s="394">
        <v>44498</v>
      </c>
      <c r="D23" s="370" t="s">
        <v>739</v>
      </c>
    </row>
    <row r="24" spans="2:4" hidden="1" outlineLevel="1"/>
    <row r="25" spans="2:4" collapsed="1"/>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D53"/>
  <sheetViews>
    <sheetView showGridLines="0" workbookViewId="0">
      <pane xSplit="1" ySplit="1" topLeftCell="B2" activePane="bottomRight" state="frozen"/>
      <selection activeCell="U8" sqref="U8"/>
      <selection pane="topRight" activeCell="U8" sqref="U8"/>
      <selection pane="bottomLeft" activeCell="U8" sqref="U8"/>
      <selection pane="bottomRight" activeCell="B12" sqref="B12"/>
    </sheetView>
  </sheetViews>
  <sheetFormatPr baseColWidth="10" defaultRowHeight="13.5" customHeight="1"/>
  <cols>
    <col min="1" max="1" width="4.7109375" style="14" customWidth="1"/>
    <col min="2" max="2" width="50" style="14" customWidth="1"/>
    <col min="3" max="3" width="104" style="87" customWidth="1"/>
    <col min="4" max="16384" width="11.42578125" style="14"/>
  </cols>
  <sheetData>
    <row r="2" spans="2:4" ht="14.1" customHeight="1">
      <c r="B2" s="13" t="s">
        <v>529</v>
      </c>
      <c r="C2" s="14"/>
    </row>
    <row r="3" spans="2:4" ht="14.1" customHeight="1">
      <c r="C3" s="14"/>
    </row>
    <row r="4" spans="2:4" ht="14.1" customHeight="1" thickBot="1">
      <c r="B4" s="83" t="s">
        <v>871</v>
      </c>
      <c r="C4" s="83"/>
      <c r="D4" s="83"/>
    </row>
    <row r="5" spans="2:4" ht="13.5" customHeight="1" thickTop="1"/>
    <row r="6" spans="2:4" ht="13.5" customHeight="1">
      <c r="B6" s="89" t="s">
        <v>434</v>
      </c>
      <c r="C6" s="89" t="s">
        <v>217</v>
      </c>
    </row>
    <row r="7" spans="2:4" s="98" customFormat="1" ht="13.5" customHeight="1">
      <c r="B7" s="97"/>
      <c r="C7" s="329"/>
    </row>
    <row r="8" spans="2:4" s="98" customFormat="1" ht="13.5" customHeight="1">
      <c r="B8" s="150" t="s">
        <v>481</v>
      </c>
      <c r="C8" s="330"/>
    </row>
    <row r="9" spans="2:4" s="98" customFormat="1" ht="13.5" customHeight="1">
      <c r="B9" s="98" t="s">
        <v>582</v>
      </c>
      <c r="C9" s="330" t="s">
        <v>482</v>
      </c>
    </row>
    <row r="10" spans="2:4" s="98" customFormat="1" ht="13.5" customHeight="1">
      <c r="B10" s="98" t="s">
        <v>581</v>
      </c>
      <c r="C10" s="330" t="s">
        <v>362</v>
      </c>
    </row>
    <row r="11" spans="2:4" s="98" customFormat="1" ht="13.5" customHeight="1">
      <c r="B11" s="98" t="s">
        <v>300</v>
      </c>
      <c r="C11" s="330" t="s">
        <v>301</v>
      </c>
    </row>
    <row r="12" spans="2:4" s="98" customFormat="1" ht="13.5" customHeight="1">
      <c r="B12" s="98" t="s">
        <v>302</v>
      </c>
      <c r="C12" s="330" t="s">
        <v>303</v>
      </c>
    </row>
    <row r="13" spans="2:4" s="98" customFormat="1" ht="13.5" customHeight="1">
      <c r="B13" s="98" t="s">
        <v>304</v>
      </c>
      <c r="C13" s="330" t="s">
        <v>305</v>
      </c>
    </row>
    <row r="14" spans="2:4" s="98" customFormat="1" ht="13.5" customHeight="1">
      <c r="B14" s="98" t="s">
        <v>306</v>
      </c>
      <c r="C14" s="330" t="s">
        <v>307</v>
      </c>
    </row>
    <row r="15" spans="2:4" s="98" customFormat="1" ht="13.5" customHeight="1">
      <c r="B15" s="98" t="s">
        <v>483</v>
      </c>
      <c r="C15" s="330" t="s">
        <v>484</v>
      </c>
    </row>
    <row r="16" spans="2:4" s="98" customFormat="1" ht="13.5" customHeight="1">
      <c r="C16" s="330"/>
    </row>
    <row r="17" spans="2:3" s="98" customFormat="1" ht="13.5" customHeight="1">
      <c r="B17" s="150" t="s">
        <v>447</v>
      </c>
      <c r="C17" s="329"/>
    </row>
    <row r="18" spans="2:3" s="98" customFormat="1" ht="13.5" customHeight="1">
      <c r="B18" s="88" t="s">
        <v>216</v>
      </c>
      <c r="C18" s="330" t="s">
        <v>361</v>
      </c>
    </row>
    <row r="19" spans="2:3" s="98" customFormat="1" ht="13.5" customHeight="1">
      <c r="B19" s="88" t="s">
        <v>435</v>
      </c>
      <c r="C19" s="330" t="s">
        <v>433</v>
      </c>
    </row>
    <row r="20" spans="2:3" s="98" customFormat="1" ht="13.5" customHeight="1">
      <c r="B20" s="88" t="s">
        <v>436</v>
      </c>
      <c r="C20" s="330" t="s">
        <v>432</v>
      </c>
    </row>
    <row r="21" spans="2:3" s="98" customFormat="1" ht="13.5" customHeight="1">
      <c r="B21" s="88" t="s">
        <v>438</v>
      </c>
      <c r="C21" s="112" t="s">
        <v>437</v>
      </c>
    </row>
    <row r="22" spans="2:3" s="98" customFormat="1" ht="13.5" customHeight="1">
      <c r="B22" s="88" t="s">
        <v>439</v>
      </c>
      <c r="C22" s="112" t="s">
        <v>440</v>
      </c>
    </row>
    <row r="23" spans="2:3" s="98" customFormat="1" ht="13.5" customHeight="1">
      <c r="B23" s="88" t="s">
        <v>443</v>
      </c>
      <c r="C23" s="95" t="s">
        <v>446</v>
      </c>
    </row>
    <row r="24" spans="2:3" s="98" customFormat="1" ht="13.5" customHeight="1">
      <c r="B24" s="88" t="s">
        <v>444</v>
      </c>
      <c r="C24" s="112" t="s">
        <v>445</v>
      </c>
    </row>
    <row r="25" spans="2:3" s="98" customFormat="1" ht="13.5" customHeight="1">
      <c r="B25" s="88" t="s">
        <v>441</v>
      </c>
      <c r="C25" s="112" t="s">
        <v>442</v>
      </c>
    </row>
    <row r="26" spans="2:3" s="98" customFormat="1" ht="13.5" customHeight="1">
      <c r="B26" s="88"/>
      <c r="C26" s="112"/>
    </row>
    <row r="27" spans="2:3" s="98" customFormat="1" ht="13.5" customHeight="1">
      <c r="B27" s="150" t="s">
        <v>336</v>
      </c>
      <c r="C27" s="96"/>
    </row>
    <row r="28" spans="2:3" s="98" customFormat="1" ht="13.5" customHeight="1">
      <c r="B28" s="98" t="s">
        <v>337</v>
      </c>
      <c r="C28" s="112" t="s">
        <v>448</v>
      </c>
    </row>
    <row r="29" spans="2:3" s="98" customFormat="1" ht="13.5" customHeight="1">
      <c r="C29" s="96"/>
    </row>
    <row r="30" spans="2:3" s="98" customFormat="1" ht="13.5" customHeight="1">
      <c r="B30" s="149" t="s">
        <v>281</v>
      </c>
      <c r="C30" s="112"/>
    </row>
    <row r="31" spans="2:3" s="98" customFormat="1" ht="13.5" customHeight="1">
      <c r="B31" s="88" t="s">
        <v>279</v>
      </c>
      <c r="C31" s="112" t="s">
        <v>188</v>
      </c>
    </row>
    <row r="32" spans="2:3" s="98" customFormat="1" ht="13.5" customHeight="1">
      <c r="B32" s="98" t="s">
        <v>284</v>
      </c>
      <c r="C32" s="112" t="s">
        <v>362</v>
      </c>
    </row>
    <row r="33" spans="2:3" s="98" customFormat="1" ht="13.5" customHeight="1">
      <c r="B33" s="98" t="s">
        <v>280</v>
      </c>
      <c r="C33" s="112" t="s">
        <v>215</v>
      </c>
    </row>
    <row r="34" spans="2:3" s="98" customFormat="1" ht="13.5" customHeight="1">
      <c r="B34" s="98" t="s">
        <v>288</v>
      </c>
      <c r="C34" s="112" t="s">
        <v>287</v>
      </c>
    </row>
    <row r="35" spans="2:3" s="98" customFormat="1" ht="13.5" customHeight="1">
      <c r="B35" s="98" t="s">
        <v>285</v>
      </c>
      <c r="C35" s="112" t="s">
        <v>229</v>
      </c>
    </row>
    <row r="36" spans="2:3" s="98" customFormat="1" ht="13.5" customHeight="1">
      <c r="B36" s="98" t="s">
        <v>226</v>
      </c>
      <c r="C36" s="112" t="s">
        <v>363</v>
      </c>
    </row>
    <row r="37" spans="2:3" s="98" customFormat="1" ht="13.5" customHeight="1">
      <c r="B37" s="98" t="s">
        <v>227</v>
      </c>
      <c r="C37" s="112" t="s">
        <v>364</v>
      </c>
    </row>
    <row r="38" spans="2:3" s="98" customFormat="1" ht="13.5" customHeight="1">
      <c r="B38" s="98" t="s">
        <v>227</v>
      </c>
      <c r="C38" s="112" t="s">
        <v>228</v>
      </c>
    </row>
    <row r="39" spans="2:3" s="98" customFormat="1" ht="13.5" customHeight="1">
      <c r="B39" s="98" t="s">
        <v>290</v>
      </c>
      <c r="C39" s="112" t="s">
        <v>289</v>
      </c>
    </row>
    <row r="40" spans="2:3" s="98" customFormat="1" ht="13.5" customHeight="1">
      <c r="B40" s="98" t="s">
        <v>341</v>
      </c>
      <c r="C40" s="112" t="s">
        <v>291</v>
      </c>
    </row>
    <row r="41" spans="2:3" s="98" customFormat="1" ht="13.5" customHeight="1">
      <c r="B41" s="98" t="s">
        <v>342</v>
      </c>
      <c r="C41" s="112" t="s">
        <v>340</v>
      </c>
    </row>
    <row r="42" spans="2:3" s="98" customFormat="1" ht="13.5" customHeight="1">
      <c r="B42" s="98" t="s">
        <v>647</v>
      </c>
      <c r="C42" s="112" t="s">
        <v>648</v>
      </c>
    </row>
    <row r="43" spans="2:3" s="98" customFormat="1" ht="13.5" customHeight="1">
      <c r="C43" s="112"/>
    </row>
    <row r="44" spans="2:3" s="98" customFormat="1" ht="13.5" customHeight="1">
      <c r="B44" s="150" t="s">
        <v>282</v>
      </c>
      <c r="C44" s="112"/>
    </row>
    <row r="45" spans="2:3" s="98" customFormat="1" ht="13.5" customHeight="1">
      <c r="B45" s="98" t="s">
        <v>283</v>
      </c>
      <c r="C45" s="112" t="s">
        <v>193</v>
      </c>
    </row>
    <row r="46" spans="2:3" s="98" customFormat="1" ht="13.5" customHeight="1">
      <c r="B46" s="98" t="s">
        <v>269</v>
      </c>
      <c r="C46" s="112" t="s">
        <v>365</v>
      </c>
    </row>
    <row r="47" spans="2:3" s="98" customFormat="1" ht="13.5" customHeight="1">
      <c r="B47" s="88" t="s">
        <v>189</v>
      </c>
      <c r="C47" s="112" t="s">
        <v>190</v>
      </c>
    </row>
    <row r="48" spans="2:3" s="98" customFormat="1" ht="13.5" customHeight="1">
      <c r="C48" s="112"/>
    </row>
    <row r="49" spans="2:3" s="98" customFormat="1" ht="13.5" customHeight="1">
      <c r="B49" s="150" t="s">
        <v>286</v>
      </c>
      <c r="C49" s="112"/>
    </row>
    <row r="50" spans="2:3" s="98" customFormat="1" ht="13.5" customHeight="1">
      <c r="B50" s="98" t="s">
        <v>270</v>
      </c>
      <c r="C50" s="112" t="s">
        <v>271</v>
      </c>
    </row>
    <row r="51" spans="2:3" s="98" customFormat="1" ht="13.5" customHeight="1">
      <c r="C51" s="112"/>
    </row>
    <row r="52" spans="2:3" s="98" customFormat="1" ht="13.5" customHeight="1">
      <c r="C52" s="96"/>
    </row>
    <row r="53" spans="2:3" s="98" customFormat="1" ht="13.5" customHeight="1"/>
  </sheetData>
  <hyperlinks>
    <hyperlink ref="C47" r:id="rId1" display="http://www.concentra.co/" xr:uid="{00000000-0004-0000-0700-000000000000}"/>
    <hyperlink ref="C33" r:id="rId2" xr:uid="{00000000-0004-0000-0700-000001000000}"/>
    <hyperlink ref="C38" r:id="rId3" xr:uid="{00000000-0004-0000-0700-000004000000}"/>
    <hyperlink ref="C31" r:id="rId4" xr:uid="{00000000-0004-0000-0700-000005000000}"/>
    <hyperlink ref="C35" r:id="rId5" xr:uid="{00000000-0004-0000-0700-000007000000}"/>
    <hyperlink ref="C50" r:id="rId6" location="1" xr:uid="{00000000-0004-0000-0700-000009000000}"/>
    <hyperlink ref="C34" r:id="rId7" xr:uid="{00000000-0004-0000-0700-00000A000000}"/>
    <hyperlink ref="C19" r:id="rId8" xr:uid="{00000000-0004-0000-0700-00000B000000}"/>
    <hyperlink ref="C11" r:id="rId9" xr:uid="{00000000-0004-0000-0700-00000E000000}"/>
    <hyperlink ref="C12" r:id="rId10" xr:uid="{00000000-0004-0000-0700-00000F000000}"/>
    <hyperlink ref="C13" r:id="rId11" xr:uid="{00000000-0004-0000-0700-000010000000}"/>
    <hyperlink ref="C14" r:id="rId12" xr:uid="{00000000-0004-0000-0700-000011000000}"/>
    <hyperlink ref="C41" r:id="rId13" xr:uid="{00000000-0004-0000-0700-000012000000}"/>
    <hyperlink ref="C40" r:id="rId14" xr:uid="{00000000-0004-0000-0700-000013000000}"/>
    <hyperlink ref="C18" r:id="rId15" xr:uid="{901D2384-34D0-4C28-A8E9-517ABC352DC9}"/>
    <hyperlink ref="C39" r:id="rId16" xr:uid="{6F2E5667-7C09-4EEA-93E6-753540299B8C}"/>
    <hyperlink ref="C45" r:id="rId17" xr:uid="{6D321EFD-44CD-48A4-879A-38D301006FA6}"/>
    <hyperlink ref="C20" r:id="rId18" xr:uid="{43DA5F23-F7A6-4D9F-80DD-C126993FD8A7}"/>
    <hyperlink ref="C21" r:id="rId19" xr:uid="{29F2D8F9-9B40-48EB-8850-AF7F3A0E97E1}"/>
    <hyperlink ref="C22" r:id="rId20" xr:uid="{61C8C496-4C16-4BA7-AB15-E9122E03EB06}"/>
    <hyperlink ref="C25" r:id="rId21" xr:uid="{05983F35-AC4B-4927-B4FF-EE508403DB4F}"/>
    <hyperlink ref="C24" r:id="rId22" xr:uid="{1BCBD5DF-6A89-48A7-AC33-EDFCEEB7075F}"/>
    <hyperlink ref="C23" r:id="rId23" xr:uid="{F0202A24-F37A-480F-858E-CB07B7B0F4ED}"/>
    <hyperlink ref="C9" r:id="rId24" xr:uid="{272EDDB1-1340-48CD-A378-1D9504DB293F}"/>
    <hyperlink ref="C15" r:id="rId25" xr:uid="{519B0FF2-EC04-42E3-99D8-F1CDAFB8469E}"/>
    <hyperlink ref="C10" r:id="rId26" xr:uid="{0A3B3105-752A-4C86-8F72-E775B595C309}"/>
    <hyperlink ref="C42" r:id="rId27" xr:uid="{ACC2A4C4-F15C-4CBE-86DE-A072BE57EB73}"/>
  </hyperlinks>
  <pageMargins left="0.7" right="0.7" top="0.75" bottom="0.75" header="0.3" footer="0.3"/>
  <pageSetup orientation="portrait" r:id="rId28"/>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D34"/>
  <sheetViews>
    <sheetView showGridLines="0" zoomScaleNormal="100" workbookViewId="0">
      <pane xSplit="1" ySplit="4" topLeftCell="B5" activePane="bottomRight" state="frozen"/>
      <selection activeCell="B21" sqref="B21"/>
      <selection pane="topRight" activeCell="B21" sqref="B21"/>
      <selection pane="bottomLeft" activeCell="B21" sqref="B21"/>
      <selection pane="bottomRight" activeCell="B18" sqref="B18"/>
    </sheetView>
  </sheetViews>
  <sheetFormatPr baseColWidth="10" defaultRowHeight="14.1" customHeight="1"/>
  <cols>
    <col min="1" max="1" width="4.7109375" style="14" customWidth="1"/>
    <col min="2" max="3" width="45.85546875" style="14" customWidth="1"/>
    <col min="4" max="4" width="49.7109375" style="14" customWidth="1"/>
    <col min="5" max="16384" width="11.42578125" style="14"/>
  </cols>
  <sheetData>
    <row r="2" spans="2:4" ht="14.1" customHeight="1">
      <c r="B2" s="13" t="s">
        <v>872</v>
      </c>
    </row>
    <row r="4" spans="2:4" ht="14.1" customHeight="1" thickBot="1">
      <c r="B4" s="83" t="s">
        <v>187</v>
      </c>
      <c r="C4" s="83"/>
      <c r="D4" s="83"/>
    </row>
    <row r="5" spans="2:4" ht="14.1" customHeight="1" thickTop="1"/>
    <row r="6" spans="2:4" ht="14.1" customHeight="1">
      <c r="B6" s="89" t="s">
        <v>191</v>
      </c>
      <c r="C6" s="89" t="s">
        <v>192</v>
      </c>
      <c r="D6" s="14" t="s">
        <v>186</v>
      </c>
    </row>
    <row r="7" spans="2:4" ht="14.1" customHeight="1">
      <c r="B7" s="89"/>
      <c r="C7" s="89"/>
    </row>
    <row r="8" spans="2:4" ht="14.1" customHeight="1">
      <c r="B8" s="90" t="s">
        <v>208</v>
      </c>
      <c r="C8" s="89"/>
    </row>
    <row r="9" spans="2:4" ht="14.1" customHeight="1">
      <c r="B9" s="88" t="s">
        <v>194</v>
      </c>
      <c r="C9" s="95" t="s">
        <v>195</v>
      </c>
    </row>
    <row r="10" spans="2:4" ht="14.1" customHeight="1">
      <c r="B10" s="88" t="s">
        <v>196</v>
      </c>
      <c r="C10" s="95" t="s">
        <v>366</v>
      </c>
    </row>
    <row r="11" spans="2:4" ht="14.1" customHeight="1">
      <c r="B11" s="14" t="s">
        <v>197</v>
      </c>
      <c r="C11" s="95" t="s">
        <v>198</v>
      </c>
    </row>
    <row r="12" spans="2:4" ht="14.1" customHeight="1">
      <c r="B12" s="14" t="s">
        <v>232</v>
      </c>
      <c r="C12" s="95" t="s">
        <v>234</v>
      </c>
      <c r="D12" s="14" t="s">
        <v>233</v>
      </c>
    </row>
    <row r="13" spans="2:4" ht="14.1" customHeight="1">
      <c r="B13" s="14" t="s">
        <v>235</v>
      </c>
      <c r="C13" s="95" t="s">
        <v>367</v>
      </c>
    </row>
    <row r="14" spans="2:4" ht="14.1" customHeight="1">
      <c r="B14" s="14" t="s">
        <v>675</v>
      </c>
      <c r="C14" s="95" t="s">
        <v>673</v>
      </c>
    </row>
    <row r="15" spans="2:4" ht="14.1" customHeight="1">
      <c r="B15" s="14" t="s">
        <v>672</v>
      </c>
      <c r="C15" s="95" t="s">
        <v>674</v>
      </c>
    </row>
    <row r="16" spans="2:4" ht="14.1" customHeight="1">
      <c r="B16" s="14" t="s">
        <v>238</v>
      </c>
      <c r="C16" s="95" t="s">
        <v>236</v>
      </c>
    </row>
    <row r="17" spans="2:4" ht="14.1" customHeight="1">
      <c r="B17" s="14" t="s">
        <v>238</v>
      </c>
      <c r="C17" s="95" t="s">
        <v>237</v>
      </c>
    </row>
    <row r="18" spans="2:4" ht="14.1" customHeight="1">
      <c r="B18" s="14" t="s">
        <v>239</v>
      </c>
      <c r="C18" s="95" t="s">
        <v>368</v>
      </c>
      <c r="D18" s="14" t="s">
        <v>240</v>
      </c>
    </row>
    <row r="19" spans="2:4" ht="14.1" customHeight="1">
      <c r="B19" s="14" t="s">
        <v>241</v>
      </c>
      <c r="C19" s="95" t="s">
        <v>415</v>
      </c>
    </row>
    <row r="20" spans="2:4" ht="14.1" customHeight="1">
      <c r="C20" s="95"/>
    </row>
    <row r="21" spans="2:4" ht="14.1" customHeight="1">
      <c r="B21" s="90" t="s">
        <v>209</v>
      </c>
      <c r="C21" s="95"/>
    </row>
    <row r="22" spans="2:4" ht="14.1" customHeight="1">
      <c r="B22" s="14" t="s">
        <v>199</v>
      </c>
      <c r="C22" s="95" t="s">
        <v>210</v>
      </c>
      <c r="D22" s="14" t="s">
        <v>343</v>
      </c>
    </row>
    <row r="23" spans="2:4" ht="14.1" customHeight="1">
      <c r="B23" s="14" t="s">
        <v>200</v>
      </c>
      <c r="C23" s="95" t="s">
        <v>210</v>
      </c>
      <c r="D23" s="14" t="s">
        <v>343</v>
      </c>
    </row>
    <row r="24" spans="2:4" ht="14.1" customHeight="1">
      <c r="B24" s="14" t="s">
        <v>201</v>
      </c>
      <c r="C24" s="95" t="s">
        <v>210</v>
      </c>
      <c r="D24" s="14" t="s">
        <v>343</v>
      </c>
    </row>
    <row r="25" spans="2:4" ht="14.1" customHeight="1">
      <c r="B25" s="14" t="s">
        <v>202</v>
      </c>
      <c r="C25" s="95" t="s">
        <v>210</v>
      </c>
      <c r="D25" s="14" t="s">
        <v>203</v>
      </c>
    </row>
    <row r="26" spans="2:4" ht="14.1" customHeight="1">
      <c r="B26" s="14" t="s">
        <v>204</v>
      </c>
      <c r="C26" s="95" t="s">
        <v>210</v>
      </c>
      <c r="D26" s="14" t="s">
        <v>203</v>
      </c>
    </row>
    <row r="27" spans="2:4" ht="14.1" customHeight="1">
      <c r="B27" s="14" t="s">
        <v>205</v>
      </c>
      <c r="C27" s="95" t="s">
        <v>210</v>
      </c>
      <c r="D27" s="14" t="s">
        <v>203</v>
      </c>
    </row>
    <row r="28" spans="2:4" ht="14.1" customHeight="1">
      <c r="B28" s="14" t="s">
        <v>206</v>
      </c>
      <c r="C28" s="95" t="s">
        <v>210</v>
      </c>
      <c r="D28" s="14" t="s">
        <v>207</v>
      </c>
    </row>
    <row r="29" spans="2:4" ht="14.1" customHeight="1">
      <c r="B29" s="14" t="s">
        <v>231</v>
      </c>
      <c r="C29" s="95" t="s">
        <v>230</v>
      </c>
    </row>
    <row r="30" spans="2:4" ht="14.1" customHeight="1">
      <c r="B30" s="14" t="s">
        <v>451</v>
      </c>
      <c r="C30" s="95" t="s">
        <v>452</v>
      </c>
    </row>
    <row r="31" spans="2:4" ht="14.1" customHeight="1">
      <c r="C31" s="95"/>
    </row>
    <row r="32" spans="2:4" ht="14.1" customHeight="1">
      <c r="C32" s="95"/>
    </row>
    <row r="33" spans="3:3" ht="14.1" customHeight="1">
      <c r="C33" s="95"/>
    </row>
    <row r="34" spans="3:3" ht="14.1" customHeight="1">
      <c r="C34" s="95"/>
    </row>
  </sheetData>
  <hyperlinks>
    <hyperlink ref="C22" r:id="rId1" xr:uid="{00000000-0004-0000-0800-000000000000}"/>
    <hyperlink ref="C23" r:id="rId2" xr:uid="{00000000-0004-0000-0800-000001000000}"/>
    <hyperlink ref="C24" r:id="rId3" xr:uid="{00000000-0004-0000-0800-000002000000}"/>
    <hyperlink ref="C25:C28" r:id="rId4" display="http://www.cnd.com.pa/" xr:uid="{00000000-0004-0000-0800-000003000000}"/>
    <hyperlink ref="C29" r:id="rId5" xr:uid="{00000000-0004-0000-0800-000004000000}"/>
    <hyperlink ref="C12" r:id="rId6" xr:uid="{00000000-0004-0000-0800-000005000000}"/>
    <hyperlink ref="C16" r:id="rId7" xr:uid="{00000000-0004-0000-0800-000007000000}"/>
    <hyperlink ref="C17" r:id="rId8" xr:uid="{00000000-0004-0000-0800-000008000000}"/>
    <hyperlink ref="C18" r:id="rId9" xr:uid="{895CFE77-50EA-4C13-8B94-A5628EF4D663}"/>
    <hyperlink ref="C19" r:id="rId10" display="http://www.cnd.com.pa/informes.php?cat=7" xr:uid="{D64BE8E1-E5C8-418F-B071-24B376D09E28}"/>
    <hyperlink ref="C30" r:id="rId11" xr:uid="{FB80A188-3EDC-47D2-A7E5-6546A9680658}"/>
    <hyperlink ref="C15" r:id="rId12" xr:uid="{2032FFAD-0888-4247-9571-53D6AACF4951}"/>
    <hyperlink ref="C14" r:id="rId13" xr:uid="{57565F90-A4E6-4373-A7C8-EDAAFE07301A}"/>
  </hyperlinks>
  <pageMargins left="0.7" right="0.7" top="0.75" bottom="0.75" header="0.3" footer="0.3"/>
  <pageSetup orientation="portrait" r:id="rId1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X96"/>
  <sheetViews>
    <sheetView showGridLines="0" zoomScaleNormal="100" workbookViewId="0">
      <pane xSplit="2" ySplit="3" topLeftCell="C4" activePane="bottomRight" state="frozen"/>
      <selection activeCell="B21" sqref="B21"/>
      <selection pane="topRight" activeCell="B21" sqref="B21"/>
      <selection pane="bottomLeft" activeCell="B21" sqref="B21"/>
      <selection pane="bottomRight" activeCell="B3" sqref="B3"/>
    </sheetView>
  </sheetViews>
  <sheetFormatPr baseColWidth="10" defaultRowHeight="14.1" customHeight="1"/>
  <cols>
    <col min="1" max="1" width="4.7109375" style="92" customWidth="1"/>
    <col min="2" max="2" width="48" style="92" customWidth="1"/>
    <col min="3" max="19" width="11.42578125" style="92"/>
    <col min="20" max="20" width="2.7109375" style="92" customWidth="1"/>
    <col min="21" max="16384" width="11.42578125" style="92"/>
  </cols>
  <sheetData>
    <row r="2" spans="2:24" ht="14.1" customHeight="1">
      <c r="B2" s="13" t="s">
        <v>529</v>
      </c>
    </row>
    <row r="3" spans="2:24" ht="14.1" customHeight="1">
      <c r="B3" s="17" t="s">
        <v>134</v>
      </c>
      <c r="C3" s="84" t="s">
        <v>140</v>
      </c>
      <c r="D3" s="84" t="s">
        <v>141</v>
      </c>
      <c r="E3" s="84" t="s">
        <v>142</v>
      </c>
      <c r="F3" s="84" t="s">
        <v>143</v>
      </c>
      <c r="G3" s="84" t="s">
        <v>144</v>
      </c>
      <c r="H3" s="84" t="s">
        <v>145</v>
      </c>
      <c r="I3" s="84" t="s">
        <v>146</v>
      </c>
      <c r="J3" s="84" t="s">
        <v>147</v>
      </c>
      <c r="K3" s="84" t="s">
        <v>148</v>
      </c>
      <c r="L3" s="84" t="s">
        <v>149</v>
      </c>
      <c r="M3" s="84" t="s">
        <v>150</v>
      </c>
      <c r="N3" s="84" t="s">
        <v>151</v>
      </c>
      <c r="O3" s="84" t="s">
        <v>152</v>
      </c>
      <c r="P3" s="84" t="s">
        <v>153</v>
      </c>
      <c r="Q3" s="84" t="s">
        <v>154</v>
      </c>
      <c r="R3" s="84" t="s">
        <v>155</v>
      </c>
      <c r="U3" s="91">
        <v>2011</v>
      </c>
      <c r="V3" s="91">
        <v>2012</v>
      </c>
      <c r="W3" s="91">
        <v>2013</v>
      </c>
      <c r="X3" s="91">
        <v>2014</v>
      </c>
    </row>
    <row r="4" spans="2:24" ht="14.1" customHeight="1">
      <c r="B4" s="18"/>
      <c r="C4" s="92">
        <v>2011</v>
      </c>
      <c r="D4" s="92">
        <v>2011</v>
      </c>
      <c r="E4" s="92">
        <v>2011</v>
      </c>
      <c r="F4" s="92">
        <v>2011</v>
      </c>
      <c r="G4" s="92">
        <v>2012</v>
      </c>
      <c r="H4" s="92">
        <v>2012</v>
      </c>
      <c r="I4" s="92">
        <v>2012</v>
      </c>
      <c r="J4" s="92">
        <v>2012</v>
      </c>
      <c r="K4" s="92">
        <v>2013</v>
      </c>
      <c r="L4" s="92">
        <v>2013</v>
      </c>
      <c r="M4" s="92">
        <v>2013</v>
      </c>
      <c r="N4" s="92">
        <v>2013</v>
      </c>
      <c r="O4" s="92">
        <v>2014</v>
      </c>
      <c r="P4" s="92">
        <v>2014</v>
      </c>
      <c r="Q4" s="92">
        <v>2014</v>
      </c>
      <c r="R4" s="92">
        <v>2014</v>
      </c>
    </row>
    <row r="5" spans="2:24" ht="14.1" customHeight="1" thickBot="1">
      <c r="B5" s="28" t="s">
        <v>5</v>
      </c>
    </row>
    <row r="6" spans="2:24" ht="14.1" customHeight="1" thickTop="1">
      <c r="B6" s="17" t="s">
        <v>78</v>
      </c>
    </row>
    <row r="7" spans="2:24" ht="14.1" customHeight="1">
      <c r="B7" s="18"/>
    </row>
    <row r="8" spans="2:24" ht="14.1" customHeight="1">
      <c r="B8" s="25" t="s">
        <v>6</v>
      </c>
      <c r="C8" s="31">
        <v>102959.37867999999</v>
      </c>
      <c r="D8" s="31">
        <v>74314.885070000018</v>
      </c>
      <c r="E8" s="31">
        <v>115634.77979600002</v>
      </c>
      <c r="F8" s="31">
        <v>178140.90025999997</v>
      </c>
      <c r="G8" s="31">
        <v>147009.13356100002</v>
      </c>
      <c r="H8" s="31">
        <v>100219.77202199996</v>
      </c>
      <c r="I8" s="31">
        <v>178585.09441700001</v>
      </c>
      <c r="J8" s="31">
        <v>179305</v>
      </c>
      <c r="K8" s="31">
        <v>259475.184171</v>
      </c>
      <c r="L8" s="31">
        <v>249822.95625000008</v>
      </c>
      <c r="M8" s="31">
        <v>270377.44592999981</v>
      </c>
      <c r="N8" s="31">
        <v>288033.1912890001</v>
      </c>
      <c r="O8" s="31">
        <v>227903.12538499999</v>
      </c>
      <c r="P8" s="31">
        <v>433958.83712600009</v>
      </c>
      <c r="Q8" s="31">
        <v>213707.2756800002</v>
      </c>
      <c r="R8" s="31">
        <v>228556.83464200015</v>
      </c>
      <c r="U8" s="31">
        <f>+SUMIFS($C8:$S8,$C$4:$S$4,U$3)</f>
        <v>471049.943806</v>
      </c>
      <c r="V8" s="31">
        <f t="shared" ref="V8:X23" si="0">+SUMIFS($C8:$S8,$C$4:$S$4,V$3)</f>
        <v>605119</v>
      </c>
      <c r="W8" s="31">
        <f t="shared" si="0"/>
        <v>1067708.77764</v>
      </c>
      <c r="X8" s="31">
        <f t="shared" si="0"/>
        <v>1104126.0728330004</v>
      </c>
    </row>
    <row r="9" spans="2:24" ht="14.1" customHeight="1">
      <c r="B9" s="25" t="s">
        <v>7</v>
      </c>
      <c r="C9" s="31">
        <v>51013.697582000001</v>
      </c>
      <c r="D9" s="31">
        <v>48064.342026999999</v>
      </c>
      <c r="E9" s="31">
        <v>50150.531682000001</v>
      </c>
      <c r="F9" s="31">
        <v>55997.248380000005</v>
      </c>
      <c r="G9" s="31">
        <v>54279.918084999998</v>
      </c>
      <c r="H9" s="31">
        <v>49913.446831000008</v>
      </c>
      <c r="I9" s="31">
        <v>51496.635083999994</v>
      </c>
      <c r="J9" s="31">
        <v>53653.033435999998</v>
      </c>
      <c r="K9" s="31">
        <v>55782.344922999997</v>
      </c>
      <c r="L9" s="31">
        <v>56156.361686000004</v>
      </c>
      <c r="M9" s="31">
        <v>52899.457404000001</v>
      </c>
      <c r="N9" s="31">
        <v>56776.843636000005</v>
      </c>
      <c r="O9" s="31">
        <v>54335.417984</v>
      </c>
      <c r="P9" s="31">
        <v>45238.547477999993</v>
      </c>
      <c r="Q9" s="31">
        <v>52623.341966000007</v>
      </c>
      <c r="R9" s="31">
        <v>61948.132631000015</v>
      </c>
      <c r="U9" s="31">
        <f t="shared" ref="U9:X40" si="1">+SUMIFS($C9:$S9,$C$4:$S$4,U$3)</f>
        <v>205225.819671</v>
      </c>
      <c r="V9" s="31">
        <f t="shared" si="0"/>
        <v>209343.033436</v>
      </c>
      <c r="W9" s="31">
        <f t="shared" si="0"/>
        <v>221615.00764900001</v>
      </c>
      <c r="X9" s="31">
        <f t="shared" si="0"/>
        <v>214145.44005900002</v>
      </c>
    </row>
    <row r="10" spans="2:24" ht="14.1" customHeight="1">
      <c r="B10" s="25" t="s">
        <v>8</v>
      </c>
      <c r="C10" s="31">
        <v>89279.463334000044</v>
      </c>
      <c r="D10" s="31">
        <v>72571.726503000027</v>
      </c>
      <c r="E10" s="31">
        <v>62223.314851999923</v>
      </c>
      <c r="F10" s="31">
        <v>51052.41605700014</v>
      </c>
      <c r="G10" s="31">
        <v>79913.490327999971</v>
      </c>
      <c r="H10" s="31">
        <v>60067.700945000004</v>
      </c>
      <c r="I10" s="31">
        <v>49836.808727000025</v>
      </c>
      <c r="J10" s="31">
        <v>97271</v>
      </c>
      <c r="K10" s="31">
        <v>61043.523707000051</v>
      </c>
      <c r="L10" s="31">
        <v>61184.036057999874</v>
      </c>
      <c r="M10" s="31">
        <v>36597.82249500032</v>
      </c>
      <c r="N10" s="31">
        <v>77331.107105999778</v>
      </c>
      <c r="O10" s="31">
        <v>81473.085035000055</v>
      </c>
      <c r="P10" s="31">
        <v>73878.197360999766</v>
      </c>
      <c r="Q10" s="31">
        <v>57536.975465999945</v>
      </c>
      <c r="R10" s="31">
        <v>131035.32133899935</v>
      </c>
      <c r="U10" s="31">
        <f t="shared" si="1"/>
        <v>275126.92074600013</v>
      </c>
      <c r="V10" s="31">
        <f t="shared" si="0"/>
        <v>287089</v>
      </c>
      <c r="W10" s="31">
        <f t="shared" si="0"/>
        <v>236156.48936600002</v>
      </c>
      <c r="X10" s="31">
        <f t="shared" si="0"/>
        <v>343923.57920099911</v>
      </c>
    </row>
    <row r="11" spans="2:24" ht="14.1" customHeight="1">
      <c r="B11" s="32" t="s">
        <v>9</v>
      </c>
      <c r="C11" s="33">
        <v>243252.53959600005</v>
      </c>
      <c r="D11" s="33">
        <v>194950.95360000007</v>
      </c>
      <c r="E11" s="33">
        <v>228008.62632999994</v>
      </c>
      <c r="F11" s="33">
        <v>285190.56469700008</v>
      </c>
      <c r="G11" s="33">
        <v>281202.54197399999</v>
      </c>
      <c r="H11" s="33">
        <v>210200.91979799996</v>
      </c>
      <c r="I11" s="33">
        <v>279918.53822800005</v>
      </c>
      <c r="J11" s="33">
        <v>330229.033436</v>
      </c>
      <c r="K11" s="33">
        <v>376301.05280100007</v>
      </c>
      <c r="L11" s="33">
        <v>367163.35399399995</v>
      </c>
      <c r="M11" s="33">
        <v>359874.72582900012</v>
      </c>
      <c r="N11" s="33">
        <v>422141.14203099988</v>
      </c>
      <c r="O11" s="33">
        <v>363711.62840400002</v>
      </c>
      <c r="P11" s="33">
        <v>553075.5819649999</v>
      </c>
      <c r="Q11" s="33">
        <v>323867.59311200015</v>
      </c>
      <c r="R11" s="33">
        <v>421540.28861199948</v>
      </c>
      <c r="U11" s="33">
        <f t="shared" si="1"/>
        <v>951402.68422300008</v>
      </c>
      <c r="V11" s="33">
        <f t="shared" si="0"/>
        <v>1101551.0334359999</v>
      </c>
      <c r="W11" s="33">
        <f t="shared" si="0"/>
        <v>1525480.2746549998</v>
      </c>
      <c r="X11" s="33">
        <f t="shared" si="0"/>
        <v>1662195.0920929995</v>
      </c>
    </row>
    <row r="12" spans="2:24" ht="14.1" customHeight="1">
      <c r="B12" s="25" t="s">
        <v>10</v>
      </c>
      <c r="C12" s="34">
        <v>88016.743642999994</v>
      </c>
      <c r="D12" s="34">
        <v>94988.815742000006</v>
      </c>
      <c r="E12" s="34">
        <v>96066.311061000015</v>
      </c>
      <c r="F12" s="34">
        <v>94491.080095999932</v>
      </c>
      <c r="G12" s="34">
        <v>99168.008916999985</v>
      </c>
      <c r="H12" s="34">
        <v>102627.68188599999</v>
      </c>
      <c r="I12" s="34">
        <v>98272.309197000024</v>
      </c>
      <c r="J12" s="34">
        <v>97369.125305000052</v>
      </c>
      <c r="K12" s="34">
        <v>98553.646099000005</v>
      </c>
      <c r="L12" s="34">
        <v>102358.29406699998</v>
      </c>
      <c r="M12" s="34">
        <v>98229.486816000019</v>
      </c>
      <c r="N12" s="34">
        <v>93489.224075999984</v>
      </c>
      <c r="O12" s="34">
        <v>99126.011253999997</v>
      </c>
      <c r="P12" s="34">
        <v>103799.48713499999</v>
      </c>
      <c r="Q12" s="34">
        <v>111075.90551700004</v>
      </c>
      <c r="R12" s="34">
        <v>106889.37285099999</v>
      </c>
      <c r="U12" s="34">
        <f t="shared" si="1"/>
        <v>373562.95054199995</v>
      </c>
      <c r="V12" s="34">
        <f t="shared" si="0"/>
        <v>397437.12530500005</v>
      </c>
      <c r="W12" s="34">
        <f t="shared" si="0"/>
        <v>392630.65105799999</v>
      </c>
      <c r="X12" s="34">
        <f t="shared" si="0"/>
        <v>420890.77675700001</v>
      </c>
    </row>
    <row r="13" spans="2:24" ht="14.1" customHeight="1">
      <c r="B13" s="25" t="s">
        <v>11</v>
      </c>
      <c r="C13" s="34">
        <v>33474.318501000002</v>
      </c>
      <c r="D13" s="34">
        <v>35966.636763999995</v>
      </c>
      <c r="E13" s="34">
        <v>37045.568469999998</v>
      </c>
      <c r="F13" s="34">
        <v>37147.995333000028</v>
      </c>
      <c r="G13" s="34">
        <v>35105.412606999998</v>
      </c>
      <c r="H13" s="34">
        <v>35938.555176000002</v>
      </c>
      <c r="I13" s="34">
        <v>38476.032217</v>
      </c>
      <c r="J13" s="34">
        <v>36694.966633000033</v>
      </c>
      <c r="K13" s="34">
        <v>40031.763648999993</v>
      </c>
      <c r="L13" s="34">
        <v>44491.036863000023</v>
      </c>
      <c r="M13" s="34">
        <v>47328.266824999999</v>
      </c>
      <c r="N13" s="34">
        <v>45785.525171999936</v>
      </c>
      <c r="O13" s="34">
        <v>47340.952601999998</v>
      </c>
      <c r="P13" s="34">
        <v>52870.460448999998</v>
      </c>
      <c r="Q13" s="34">
        <v>54263.574413999988</v>
      </c>
      <c r="R13" s="34">
        <v>52644.837621000042</v>
      </c>
      <c r="U13" s="34">
        <f t="shared" si="1"/>
        <v>143634.51906800002</v>
      </c>
      <c r="V13" s="34">
        <f t="shared" si="0"/>
        <v>146214.96663300003</v>
      </c>
      <c r="W13" s="34">
        <f t="shared" si="0"/>
        <v>177636.59250899995</v>
      </c>
      <c r="X13" s="34">
        <f t="shared" si="0"/>
        <v>207119.82508600003</v>
      </c>
    </row>
    <row r="14" spans="2:24" ht="14.1" customHeight="1">
      <c r="B14" s="32" t="s">
        <v>12</v>
      </c>
      <c r="C14" s="33">
        <v>121491.062144</v>
      </c>
      <c r="D14" s="33">
        <v>130955.452506</v>
      </c>
      <c r="E14" s="33">
        <v>133111.87953100001</v>
      </c>
      <c r="F14" s="33">
        <v>131639.07542899996</v>
      </c>
      <c r="G14" s="33">
        <v>134273.42152399998</v>
      </c>
      <c r="H14" s="33">
        <v>138566.237062</v>
      </c>
      <c r="I14" s="33">
        <v>136748.34141400002</v>
      </c>
      <c r="J14" s="33">
        <v>134064.09193800009</v>
      </c>
      <c r="K14" s="33">
        <v>138585.40974800001</v>
      </c>
      <c r="L14" s="33">
        <v>146849.33093</v>
      </c>
      <c r="M14" s="33">
        <v>145557.75364100002</v>
      </c>
      <c r="N14" s="33">
        <v>139274.74924799992</v>
      </c>
      <c r="O14" s="33">
        <v>146466.96385599999</v>
      </c>
      <c r="P14" s="33">
        <v>156669.94758400001</v>
      </c>
      <c r="Q14" s="33">
        <v>165339.47993100004</v>
      </c>
      <c r="R14" s="33">
        <v>159534.21047200004</v>
      </c>
      <c r="U14" s="33">
        <f t="shared" si="1"/>
        <v>517197.46960999997</v>
      </c>
      <c r="V14" s="33">
        <f t="shared" si="0"/>
        <v>543652.09193800006</v>
      </c>
      <c r="W14" s="33">
        <f t="shared" si="0"/>
        <v>570267.24356699991</v>
      </c>
      <c r="X14" s="33">
        <f t="shared" si="0"/>
        <v>628010.60184300004</v>
      </c>
    </row>
    <row r="15" spans="2:24" ht="14.1" customHeight="1">
      <c r="B15" s="25" t="s">
        <v>13</v>
      </c>
      <c r="C15" s="34">
        <v>47437.612492</v>
      </c>
      <c r="D15" s="34">
        <v>50213.408192000003</v>
      </c>
      <c r="E15" s="34">
        <v>44092.120074999999</v>
      </c>
      <c r="F15" s="34">
        <v>53231.291651000007</v>
      </c>
      <c r="G15" s="34">
        <v>53889.367530999996</v>
      </c>
      <c r="H15" s="34">
        <v>44696.044943000015</v>
      </c>
      <c r="I15" s="34">
        <v>51754.587525999988</v>
      </c>
      <c r="J15" s="34">
        <v>49587</v>
      </c>
      <c r="K15" s="34">
        <v>50024.33268</v>
      </c>
      <c r="L15" s="34">
        <v>50349.929936000008</v>
      </c>
      <c r="M15" s="34">
        <v>49096.555758999995</v>
      </c>
      <c r="N15" s="34">
        <v>47831.859372000006</v>
      </c>
      <c r="O15" s="34">
        <v>52525.593497000002</v>
      </c>
      <c r="P15" s="34">
        <v>51704.384664999998</v>
      </c>
      <c r="Q15" s="34">
        <v>53171.917688000001</v>
      </c>
      <c r="R15" s="34">
        <v>52581.755248000001</v>
      </c>
      <c r="U15" s="34">
        <f t="shared" si="1"/>
        <v>194974.43241000001</v>
      </c>
      <c r="V15" s="34">
        <f t="shared" si="0"/>
        <v>199927</v>
      </c>
      <c r="W15" s="34">
        <f t="shared" si="0"/>
        <v>197302.67774700001</v>
      </c>
      <c r="X15" s="34">
        <f t="shared" si="0"/>
        <v>209983.651098</v>
      </c>
    </row>
    <row r="16" spans="2:24" ht="14.1" customHeight="1">
      <c r="B16" s="25" t="s">
        <v>14</v>
      </c>
      <c r="C16" s="34">
        <v>36143.485665</v>
      </c>
      <c r="D16" s="34">
        <v>34896.393960999994</v>
      </c>
      <c r="E16" s="34">
        <v>50097.781144000008</v>
      </c>
      <c r="F16" s="34">
        <v>46501.68618199999</v>
      </c>
      <c r="G16" s="34">
        <v>45198.272924999997</v>
      </c>
      <c r="H16" s="34">
        <v>52170.270818000005</v>
      </c>
      <c r="I16" s="34">
        <v>45998.456256999998</v>
      </c>
      <c r="J16" s="34">
        <v>9544.8626050000021</v>
      </c>
      <c r="K16" s="34">
        <v>15889.323885</v>
      </c>
      <c r="L16" s="34">
        <v>13888.609986000001</v>
      </c>
      <c r="M16" s="34">
        <v>13557.281724</v>
      </c>
      <c r="N16" s="34">
        <v>9322.3595679999999</v>
      </c>
      <c r="O16" s="34">
        <v>5842.7522179999996</v>
      </c>
      <c r="P16" s="34">
        <v>4556.0386520000011</v>
      </c>
      <c r="Q16" s="34">
        <v>15363.717761</v>
      </c>
      <c r="R16" s="34">
        <v>16462.330421000002</v>
      </c>
      <c r="U16" s="34">
        <f t="shared" si="1"/>
        <v>167639.34695199999</v>
      </c>
      <c r="V16" s="34">
        <f t="shared" si="0"/>
        <v>152911.862605</v>
      </c>
      <c r="W16" s="34">
        <f t="shared" si="0"/>
        <v>52657.575163000001</v>
      </c>
      <c r="X16" s="34">
        <f t="shared" si="0"/>
        <v>42224.839052000003</v>
      </c>
    </row>
    <row r="17" spans="2:24" ht="14.1" customHeight="1">
      <c r="B17" s="25" t="s">
        <v>15</v>
      </c>
      <c r="C17" s="34">
        <v>19188.820795000003</v>
      </c>
      <c r="D17" s="34">
        <v>-10430.691440000004</v>
      </c>
      <c r="E17" s="34">
        <v>5895.7065989999992</v>
      </c>
      <c r="F17" s="34">
        <v>3636.7449840000008</v>
      </c>
      <c r="G17" s="34">
        <v>5049.0379510000002</v>
      </c>
      <c r="H17" s="34">
        <v>5458.9777589999958</v>
      </c>
      <c r="I17" s="34">
        <v>7127.984290000004</v>
      </c>
      <c r="J17" s="34">
        <v>8810</v>
      </c>
      <c r="K17" s="34">
        <v>8056.9333490000008</v>
      </c>
      <c r="L17" s="34">
        <v>10291.671109000001</v>
      </c>
      <c r="M17" s="34">
        <v>8707.2541209999981</v>
      </c>
      <c r="N17" s="34">
        <v>8352.1260979999934</v>
      </c>
      <c r="O17" s="34">
        <v>8784.8244889999987</v>
      </c>
      <c r="P17" s="34">
        <v>18018.142279</v>
      </c>
      <c r="Q17" s="34">
        <v>9135.8876450000025</v>
      </c>
      <c r="R17" s="34">
        <v>10429.369751000006</v>
      </c>
      <c r="U17" s="34">
        <f t="shared" si="1"/>
        <v>18290.580937999999</v>
      </c>
      <c r="V17" s="34">
        <f t="shared" si="0"/>
        <v>26446</v>
      </c>
      <c r="W17" s="34">
        <f t="shared" si="0"/>
        <v>35407.984676999993</v>
      </c>
      <c r="X17" s="34">
        <f t="shared" si="0"/>
        <v>46368.224164000007</v>
      </c>
    </row>
    <row r="18" spans="2:24" ht="14.1" customHeight="1">
      <c r="B18" s="32" t="s">
        <v>16</v>
      </c>
      <c r="C18" s="33">
        <v>102769.91895200001</v>
      </c>
      <c r="D18" s="33">
        <v>74679.110712999987</v>
      </c>
      <c r="E18" s="33">
        <v>100085.607818</v>
      </c>
      <c r="F18" s="33">
        <v>103369.722817</v>
      </c>
      <c r="G18" s="33">
        <v>104136.678407</v>
      </c>
      <c r="H18" s="33">
        <v>102325.29352000002</v>
      </c>
      <c r="I18" s="33">
        <v>104881.02807299999</v>
      </c>
      <c r="J18" s="33">
        <v>67941.862605000002</v>
      </c>
      <c r="K18" s="33">
        <v>73970.589913999996</v>
      </c>
      <c r="L18" s="33">
        <v>74530.211031000013</v>
      </c>
      <c r="M18" s="33">
        <v>71361.091603999987</v>
      </c>
      <c r="N18" s="33">
        <v>65506.345037999999</v>
      </c>
      <c r="O18" s="33">
        <v>67153.170203999995</v>
      </c>
      <c r="P18" s="33">
        <v>74278.565596</v>
      </c>
      <c r="Q18" s="33">
        <v>77671.523094000004</v>
      </c>
      <c r="R18" s="33">
        <v>79473.455420000013</v>
      </c>
      <c r="U18" s="33">
        <f t="shared" si="1"/>
        <v>380904.3603</v>
      </c>
      <c r="V18" s="33">
        <f t="shared" si="0"/>
        <v>379284.86260500003</v>
      </c>
      <c r="W18" s="33">
        <f t="shared" si="0"/>
        <v>285368.23758700001</v>
      </c>
      <c r="X18" s="33">
        <f t="shared" si="0"/>
        <v>298576.71431399998</v>
      </c>
    </row>
    <row r="19" spans="2:24" ht="14.1" customHeight="1">
      <c r="B19" s="35"/>
      <c r="C19" s="36"/>
      <c r="D19" s="36"/>
      <c r="E19" s="36"/>
      <c r="F19" s="36"/>
      <c r="G19" s="36"/>
      <c r="H19" s="36"/>
      <c r="I19" s="36"/>
      <c r="J19" s="36"/>
      <c r="K19" s="36"/>
      <c r="L19" s="36"/>
      <c r="M19" s="36"/>
      <c r="N19" s="36"/>
      <c r="O19" s="36"/>
      <c r="P19" s="36"/>
      <c r="Q19" s="36"/>
      <c r="R19" s="36"/>
      <c r="U19" s="36"/>
      <c r="V19" s="36"/>
      <c r="W19" s="36"/>
      <c r="X19" s="36"/>
    </row>
    <row r="20" spans="2:24" ht="14.1" customHeight="1">
      <c r="B20" s="37" t="s">
        <v>17</v>
      </c>
      <c r="C20" s="38">
        <v>467513.52069200011</v>
      </c>
      <c r="D20" s="38">
        <v>400585.51681900007</v>
      </c>
      <c r="E20" s="38">
        <v>461206.113679</v>
      </c>
      <c r="F20" s="38">
        <v>520199.36294299999</v>
      </c>
      <c r="G20" s="38">
        <v>519612.64190499985</v>
      </c>
      <c r="H20" s="38">
        <v>451092.45037999994</v>
      </c>
      <c r="I20" s="38">
        <v>521547.9077150001</v>
      </c>
      <c r="J20" s="38">
        <v>531418.28804599994</v>
      </c>
      <c r="K20" s="38">
        <v>588857.05246300006</v>
      </c>
      <c r="L20" s="38">
        <v>588542.89595499996</v>
      </c>
      <c r="M20" s="38">
        <v>576793.57107400009</v>
      </c>
      <c r="N20" s="38">
        <v>626922.23631699954</v>
      </c>
      <c r="O20" s="38">
        <v>577331.76246400003</v>
      </c>
      <c r="P20" s="38">
        <v>784024.0951449998</v>
      </c>
      <c r="Q20" s="38">
        <v>566878.59613700025</v>
      </c>
      <c r="R20" s="38">
        <v>660547.95450399956</v>
      </c>
      <c r="U20" s="38">
        <f t="shared" si="1"/>
        <v>1849504.514133</v>
      </c>
      <c r="V20" s="38">
        <f t="shared" si="0"/>
        <v>2023671.2880460001</v>
      </c>
      <c r="W20" s="38">
        <f t="shared" si="0"/>
        <v>2381115.7558089998</v>
      </c>
      <c r="X20" s="38">
        <f t="shared" si="0"/>
        <v>2588782.4082499994</v>
      </c>
    </row>
    <row r="21" spans="2:24" ht="14.1" customHeight="1">
      <c r="B21" s="39"/>
      <c r="C21" s="40"/>
      <c r="D21" s="40"/>
      <c r="E21" s="40"/>
      <c r="F21" s="40"/>
      <c r="G21" s="40"/>
      <c r="H21" s="40"/>
      <c r="I21" s="40"/>
      <c r="J21" s="40"/>
      <c r="K21" s="40"/>
      <c r="L21" s="40"/>
      <c r="M21" s="40"/>
      <c r="N21" s="40"/>
      <c r="O21" s="40"/>
      <c r="P21" s="40"/>
      <c r="Q21" s="40"/>
      <c r="R21" s="40"/>
      <c r="U21" s="40"/>
      <c r="V21" s="40"/>
      <c r="W21" s="40"/>
      <c r="X21" s="40"/>
    </row>
    <row r="22" spans="2:24" ht="14.1" customHeight="1">
      <c r="B22" s="41"/>
      <c r="C22" s="42"/>
      <c r="D22" s="42"/>
      <c r="E22" s="42"/>
      <c r="F22" s="42"/>
      <c r="G22" s="42"/>
      <c r="H22" s="42"/>
      <c r="I22" s="42"/>
      <c r="J22" s="42"/>
      <c r="K22" s="42"/>
      <c r="L22" s="42"/>
      <c r="M22" s="42"/>
      <c r="N22" s="42"/>
      <c r="O22" s="42"/>
      <c r="P22" s="42"/>
      <c r="Q22" s="42"/>
      <c r="R22" s="42"/>
      <c r="U22" s="42"/>
      <c r="V22" s="42"/>
      <c r="W22" s="42"/>
      <c r="X22" s="42"/>
    </row>
    <row r="23" spans="2:24" ht="14.1" customHeight="1">
      <c r="B23" s="43" t="s">
        <v>18</v>
      </c>
      <c r="C23" s="31">
        <v>-252047.73823200003</v>
      </c>
      <c r="D23" s="31">
        <v>-214348.52296500001</v>
      </c>
      <c r="E23" s="31">
        <v>-284216.70593499998</v>
      </c>
      <c r="F23" s="31">
        <v>-308586.0866690001</v>
      </c>
      <c r="G23" s="31">
        <v>-288262.798909</v>
      </c>
      <c r="H23" s="31">
        <v>-253451.15213099995</v>
      </c>
      <c r="I23" s="31">
        <v>-315980.02025599999</v>
      </c>
      <c r="J23" s="31">
        <v>-343426.4773710001</v>
      </c>
      <c r="K23" s="31">
        <v>-358779.78674100002</v>
      </c>
      <c r="L23" s="31">
        <v>-324846.13315999997</v>
      </c>
      <c r="M23" s="31">
        <v>-358779.78674100002</v>
      </c>
      <c r="N23" s="31">
        <v>-358779.78674100002</v>
      </c>
      <c r="O23" s="31">
        <v>-358779.78674100002</v>
      </c>
      <c r="P23" s="31">
        <v>-419020.40664300008</v>
      </c>
      <c r="Q23" s="31">
        <v>-363578.10069400014</v>
      </c>
      <c r="R23" s="31">
        <v>-469737</v>
      </c>
      <c r="U23" s="31">
        <f t="shared" si="1"/>
        <v>-1059199.0538010001</v>
      </c>
      <c r="V23" s="31">
        <f t="shared" si="0"/>
        <v>-1201120.448667</v>
      </c>
      <c r="W23" s="31">
        <f t="shared" si="0"/>
        <v>-1401185.4933830001</v>
      </c>
      <c r="X23" s="31">
        <f t="shared" si="0"/>
        <v>-1611115.2940780004</v>
      </c>
    </row>
    <row r="24" spans="2:24" ht="14.1" customHeight="1">
      <c r="B24" s="44" t="s">
        <v>19</v>
      </c>
      <c r="C24" s="31">
        <v>-24565.317361000001</v>
      </c>
      <c r="D24" s="31">
        <v>-24722.479815999999</v>
      </c>
      <c r="E24" s="31">
        <v>-25899.832460999998</v>
      </c>
      <c r="F24" s="31">
        <v>-28375.464531000005</v>
      </c>
      <c r="G24" s="31">
        <v>-29459.643424000002</v>
      </c>
      <c r="H24" s="31">
        <v>-29412.500504000003</v>
      </c>
      <c r="I24" s="31">
        <v>-26409.620467000001</v>
      </c>
      <c r="J24" s="31">
        <v>-24970.213545999999</v>
      </c>
      <c r="K24" s="31">
        <v>-25397.545236999998</v>
      </c>
      <c r="L24" s="31">
        <v>-27478.258908</v>
      </c>
      <c r="M24" s="31">
        <v>-25397.545236999998</v>
      </c>
      <c r="N24" s="31">
        <v>-25397.545236999998</v>
      </c>
      <c r="O24" s="31">
        <v>-25397.545236999998</v>
      </c>
      <c r="P24" s="31">
        <v>-27497.627659999995</v>
      </c>
      <c r="Q24" s="31">
        <v>-32192.309206000002</v>
      </c>
      <c r="R24" s="31">
        <v>-35943</v>
      </c>
      <c r="U24" s="31">
        <f t="shared" si="1"/>
        <v>-103563.094169</v>
      </c>
      <c r="V24" s="31">
        <f t="shared" si="1"/>
        <v>-110251.977941</v>
      </c>
      <c r="W24" s="31">
        <f t="shared" si="1"/>
        <v>-103670.894619</v>
      </c>
      <c r="X24" s="31">
        <f t="shared" si="1"/>
        <v>-121030.482103</v>
      </c>
    </row>
    <row r="25" spans="2:24" ht="14.1" customHeight="1">
      <c r="B25" s="45" t="s">
        <v>20</v>
      </c>
      <c r="C25" s="46">
        <v>-276613.05559300003</v>
      </c>
      <c r="D25" s="46">
        <v>-239071.00278099999</v>
      </c>
      <c r="E25" s="46">
        <v>-310116.53839600005</v>
      </c>
      <c r="F25" s="46">
        <v>-336961.15120000008</v>
      </c>
      <c r="G25" s="46">
        <v>-317722.44233300001</v>
      </c>
      <c r="H25" s="46">
        <v>-282863.65263499995</v>
      </c>
      <c r="I25" s="46">
        <v>-342389.90503200004</v>
      </c>
      <c r="J25" s="46">
        <v>-368396.42660799995</v>
      </c>
      <c r="K25" s="46">
        <v>-384177.331978</v>
      </c>
      <c r="L25" s="46">
        <v>-363647.84463399998</v>
      </c>
      <c r="M25" s="46">
        <v>-367757.56486100005</v>
      </c>
      <c r="N25" s="46">
        <v>-424582.31827699998</v>
      </c>
      <c r="O25" s="46">
        <v>-352324.39206799999</v>
      </c>
      <c r="P25" s="46">
        <v>-446518.03430300002</v>
      </c>
      <c r="Q25" s="46">
        <v>-395770.40990000014</v>
      </c>
      <c r="R25" s="46">
        <v>-505680.11921099992</v>
      </c>
      <c r="U25" s="46">
        <f t="shared" si="1"/>
        <v>-1162761.7479700001</v>
      </c>
      <c r="V25" s="46">
        <f t="shared" si="1"/>
        <v>-1311372.426608</v>
      </c>
      <c r="W25" s="46">
        <f t="shared" si="1"/>
        <v>-1540165.05975</v>
      </c>
      <c r="X25" s="46">
        <f t="shared" si="1"/>
        <v>-1700292.955482</v>
      </c>
    </row>
    <row r="26" spans="2:24" ht="14.1" customHeight="1">
      <c r="B26" s="25"/>
      <c r="C26" s="25"/>
      <c r="D26" s="25"/>
      <c r="E26" s="25"/>
      <c r="F26" s="25"/>
      <c r="G26" s="25"/>
      <c r="H26" s="25"/>
      <c r="I26" s="25"/>
      <c r="J26" s="25"/>
      <c r="K26" s="25"/>
      <c r="L26" s="25"/>
      <c r="M26" s="25"/>
      <c r="N26" s="25"/>
      <c r="O26" s="25"/>
      <c r="P26" s="25"/>
      <c r="Q26" s="25"/>
      <c r="R26" s="25"/>
      <c r="U26" s="25"/>
      <c r="V26" s="25"/>
      <c r="W26" s="25"/>
      <c r="X26" s="25"/>
    </row>
    <row r="27" spans="2:24" ht="14.1" customHeight="1">
      <c r="B27" s="43" t="s">
        <v>21</v>
      </c>
      <c r="C27" s="31">
        <v>-20090.233057000005</v>
      </c>
      <c r="D27" s="31">
        <v>-13233.899808999988</v>
      </c>
      <c r="E27" s="31">
        <v>-18212.833384999998</v>
      </c>
      <c r="F27" s="31">
        <v>-17284.791924000034</v>
      </c>
      <c r="G27" s="31">
        <v>-17779.315725</v>
      </c>
      <c r="H27" s="31">
        <v>-24309.112542999974</v>
      </c>
      <c r="I27" s="31">
        <v>-21261.775485000035</v>
      </c>
      <c r="J27" s="31">
        <v>-28026.813756999996</v>
      </c>
      <c r="K27" s="31">
        <v>-19371.139300999992</v>
      </c>
      <c r="L27" s="31">
        <v>-21750.913080999999</v>
      </c>
      <c r="M27" s="31">
        <v>-19371.139300999992</v>
      </c>
      <c r="N27" s="31">
        <v>-19371.139300999992</v>
      </c>
      <c r="O27" s="31">
        <v>-19371.139300999992</v>
      </c>
      <c r="P27" s="31">
        <v>-28603.670477000036</v>
      </c>
      <c r="Q27" s="31">
        <v>-28112.625262999973</v>
      </c>
      <c r="R27" s="31">
        <v>-38845</v>
      </c>
      <c r="U27" s="31">
        <f t="shared" si="1"/>
        <v>-68821.758175000024</v>
      </c>
      <c r="V27" s="31">
        <f t="shared" si="1"/>
        <v>-91377.017510000005</v>
      </c>
      <c r="W27" s="31">
        <f t="shared" si="1"/>
        <v>-79864.330983999971</v>
      </c>
      <c r="X27" s="31">
        <f t="shared" si="1"/>
        <v>-114932.43504099999</v>
      </c>
    </row>
    <row r="28" spans="2:24" ht="14.1" customHeight="1">
      <c r="B28" s="44" t="s">
        <v>19</v>
      </c>
      <c r="C28" s="31">
        <v>-7258.6281719999997</v>
      </c>
      <c r="D28" s="31">
        <v>-14728.072806</v>
      </c>
      <c r="E28" s="31">
        <v>-7139.8871120000003</v>
      </c>
      <c r="F28" s="31">
        <v>-6849.9675949999983</v>
      </c>
      <c r="G28" s="31">
        <v>-6990.1188970000003</v>
      </c>
      <c r="H28" s="31">
        <v>-6974.9891519999983</v>
      </c>
      <c r="I28" s="31">
        <v>-6959.786973000002</v>
      </c>
      <c r="J28" s="31">
        <v>-7509.9560029999993</v>
      </c>
      <c r="K28" s="31">
        <v>-6527.5404440000002</v>
      </c>
      <c r="L28" s="31">
        <v>-6217.8025369999996</v>
      </c>
      <c r="M28" s="31">
        <v>-6527.5404440000002</v>
      </c>
      <c r="N28" s="31">
        <v>-6527.5404440000002</v>
      </c>
      <c r="O28" s="31">
        <v>-6527.5404440000002</v>
      </c>
      <c r="P28" s="31">
        <v>-6209.1602189999994</v>
      </c>
      <c r="Q28" s="31">
        <v>-6407.3489399999999</v>
      </c>
      <c r="R28" s="31">
        <v>-6812</v>
      </c>
      <c r="U28" s="31">
        <f t="shared" si="1"/>
        <v>-35976.555684999999</v>
      </c>
      <c r="V28" s="31">
        <f t="shared" si="1"/>
        <v>-28434.851025</v>
      </c>
      <c r="W28" s="31">
        <f t="shared" si="1"/>
        <v>-25800.423868999998</v>
      </c>
      <c r="X28" s="31">
        <f t="shared" si="1"/>
        <v>-25956.049602999999</v>
      </c>
    </row>
    <row r="29" spans="2:24" ht="14.1" customHeight="1">
      <c r="B29" s="45" t="s">
        <v>22</v>
      </c>
      <c r="C29" s="46">
        <v>-27348.861229000006</v>
      </c>
      <c r="D29" s="46">
        <v>-20256.225069999997</v>
      </c>
      <c r="E29" s="46">
        <v>-25349.579216999991</v>
      </c>
      <c r="F29" s="46">
        <v>-31842.448344000033</v>
      </c>
      <c r="G29" s="46">
        <v>-24769.434622000001</v>
      </c>
      <c r="H29" s="46">
        <v>-31284.101694999976</v>
      </c>
      <c r="I29" s="46">
        <v>-28221.463683000024</v>
      </c>
      <c r="J29" s="46">
        <v>-35536.868535000016</v>
      </c>
      <c r="K29" s="46">
        <v>-25898.67974499999</v>
      </c>
      <c r="L29" s="46">
        <v>-28306.513919000008</v>
      </c>
      <c r="M29" s="46">
        <v>-29101.022473000026</v>
      </c>
      <c r="N29" s="46">
        <v>-41527.146799000024</v>
      </c>
      <c r="O29" s="46">
        <v>-27968.715617999998</v>
      </c>
      <c r="P29" s="46">
        <v>-34812.830696000034</v>
      </c>
      <c r="Q29" s="46">
        <v>-34519.974202999976</v>
      </c>
      <c r="R29" s="46">
        <v>-45656.377447999941</v>
      </c>
      <c r="U29" s="46">
        <f t="shared" si="1"/>
        <v>-104797.11386000003</v>
      </c>
      <c r="V29" s="46">
        <f t="shared" si="1"/>
        <v>-119811.86853500002</v>
      </c>
      <c r="W29" s="46">
        <f t="shared" si="1"/>
        <v>-124833.36293600005</v>
      </c>
      <c r="X29" s="46">
        <f t="shared" si="1"/>
        <v>-142957.89796499995</v>
      </c>
    </row>
    <row r="30" spans="2:24" ht="14.1" customHeight="1">
      <c r="B30" s="27"/>
      <c r="C30" s="31"/>
      <c r="D30" s="31"/>
      <c r="E30" s="31"/>
      <c r="F30" s="31"/>
      <c r="G30" s="31"/>
      <c r="H30" s="31"/>
      <c r="I30" s="31"/>
      <c r="J30" s="31"/>
      <c r="K30" s="31"/>
      <c r="L30" s="31"/>
      <c r="M30" s="31"/>
      <c r="N30" s="31"/>
      <c r="O30" s="31"/>
      <c r="P30" s="31"/>
      <c r="Q30" s="31"/>
      <c r="R30" s="31"/>
      <c r="U30" s="31">
        <f t="shared" si="1"/>
        <v>0</v>
      </c>
      <c r="V30" s="31">
        <f t="shared" si="1"/>
        <v>0</v>
      </c>
      <c r="W30" s="31">
        <f t="shared" si="1"/>
        <v>0</v>
      </c>
      <c r="X30" s="31">
        <f t="shared" si="1"/>
        <v>0</v>
      </c>
    </row>
    <row r="31" spans="2:24" ht="14.1" customHeight="1">
      <c r="B31" s="37" t="s">
        <v>23</v>
      </c>
      <c r="C31" s="38">
        <v>163551.60387000008</v>
      </c>
      <c r="D31" s="38">
        <v>141258.2889680001</v>
      </c>
      <c r="E31" s="38">
        <v>125739.99606599996</v>
      </c>
      <c r="F31" s="38">
        <v>151395.76339899987</v>
      </c>
      <c r="G31" s="38">
        <v>177120.76494999984</v>
      </c>
      <c r="H31" s="38">
        <v>136944.69605000003</v>
      </c>
      <c r="I31" s="38">
        <v>150936.53900000005</v>
      </c>
      <c r="J31" s="38">
        <v>127484.99290299998</v>
      </c>
      <c r="K31" s="38">
        <v>178781.04074000005</v>
      </c>
      <c r="L31" s="38">
        <v>196588.53740199996</v>
      </c>
      <c r="M31" s="38">
        <v>179934.98374000003</v>
      </c>
      <c r="N31" s="38">
        <v>160812.77124099951</v>
      </c>
      <c r="O31" s="38">
        <v>197038.65477800005</v>
      </c>
      <c r="P31" s="38">
        <v>302693.2301459997</v>
      </c>
      <c r="Q31" s="38">
        <v>136588.21203400003</v>
      </c>
      <c r="R31" s="38">
        <v>109211.45784499969</v>
      </c>
      <c r="U31" s="38">
        <f t="shared" si="1"/>
        <v>581945.65230299998</v>
      </c>
      <c r="V31" s="38">
        <f t="shared" si="1"/>
        <v>592486.99290299998</v>
      </c>
      <c r="W31" s="38">
        <f t="shared" si="1"/>
        <v>716117.33312299964</v>
      </c>
      <c r="X31" s="38">
        <f t="shared" si="1"/>
        <v>745531.55480299948</v>
      </c>
    </row>
    <row r="32" spans="2:24" ht="14.1" customHeight="1">
      <c r="B32" s="37" t="s">
        <v>24</v>
      </c>
      <c r="C32" s="38">
        <v>195375.54940299995</v>
      </c>
      <c r="D32" s="38">
        <v>172999.8734179998</v>
      </c>
      <c r="E32" s="38">
        <v>158779.71563900006</v>
      </c>
      <c r="F32" s="38">
        <v>186620.56153999968</v>
      </c>
      <c r="G32" s="38">
        <v>213570.52727099991</v>
      </c>
      <c r="H32" s="38">
        <v>173332.18570600002</v>
      </c>
      <c r="I32" s="38">
        <v>184306.28702300007</v>
      </c>
      <c r="J32" s="38">
        <v>159965.43182899989</v>
      </c>
      <c r="K32" s="38">
        <v>210706.12642100005</v>
      </c>
      <c r="L32" s="38">
        <v>228492.65761699999</v>
      </c>
      <c r="M32" s="38">
        <v>212084.58164700004</v>
      </c>
      <c r="N32" s="38">
        <v>213279.59144799958</v>
      </c>
      <c r="O32" s="38">
        <v>230734.71622300005</v>
      </c>
      <c r="P32" s="38">
        <v>336400.01802499965</v>
      </c>
      <c r="Q32" s="38">
        <v>175187.8701800002</v>
      </c>
      <c r="R32" s="38">
        <v>151966.36252099951</v>
      </c>
      <c r="U32" s="38">
        <f t="shared" si="1"/>
        <v>713775.69999999949</v>
      </c>
      <c r="V32" s="38">
        <f t="shared" si="1"/>
        <v>731174.43182899989</v>
      </c>
      <c r="W32" s="38">
        <f t="shared" si="1"/>
        <v>864562.95713299967</v>
      </c>
      <c r="X32" s="38">
        <f t="shared" si="1"/>
        <v>894288.96694899944</v>
      </c>
    </row>
    <row r="33" spans="2:24" ht="14.1" customHeight="1">
      <c r="B33" s="39" t="s">
        <v>25</v>
      </c>
      <c r="C33" s="47">
        <v>0.41790352739704867</v>
      </c>
      <c r="D33" s="47">
        <v>0.43186751930466771</v>
      </c>
      <c r="E33" s="47">
        <v>0.34427062202716363</v>
      </c>
      <c r="F33" s="47">
        <v>0.358748154715538</v>
      </c>
      <c r="G33" s="47">
        <v>0.41101872827421848</v>
      </c>
      <c r="H33" s="47">
        <v>0.38424980413656917</v>
      </c>
      <c r="I33" s="47">
        <v>0.35338323535891597</v>
      </c>
      <c r="J33" s="48">
        <v>0.30101604597987258</v>
      </c>
      <c r="K33" s="48">
        <v>0.35782220071863613</v>
      </c>
      <c r="L33" s="48">
        <v>0.38823450115090774</v>
      </c>
      <c r="M33" s="48">
        <v>0.3676958140363713</v>
      </c>
      <c r="N33" s="48">
        <v>0.34020103147235636</v>
      </c>
      <c r="O33" s="48">
        <v>0.3996570624111257</v>
      </c>
      <c r="P33" s="48">
        <v>0.42906846882401595</v>
      </c>
      <c r="Q33" s="48">
        <v>0.30903948636237055</v>
      </c>
      <c r="R33" s="48">
        <v>0.2300610598894518</v>
      </c>
      <c r="U33" s="48">
        <f t="shared" si="1"/>
        <v>1.552789823444418</v>
      </c>
      <c r="V33" s="48">
        <f t="shared" si="1"/>
        <v>1.4496678137495762</v>
      </c>
      <c r="W33" s="48">
        <f t="shared" si="1"/>
        <v>1.4539535473782714</v>
      </c>
      <c r="X33" s="48">
        <f t="shared" si="1"/>
        <v>1.3678260774869639</v>
      </c>
    </row>
    <row r="34" spans="2:24" ht="14.1" customHeight="1">
      <c r="B34" s="49"/>
      <c r="C34" s="31"/>
      <c r="D34" s="31"/>
      <c r="E34" s="31"/>
      <c r="F34" s="31"/>
      <c r="G34" s="31"/>
      <c r="H34" s="31"/>
      <c r="I34" s="31"/>
      <c r="J34" s="31"/>
      <c r="K34" s="31"/>
      <c r="L34" s="31"/>
      <c r="M34" s="31"/>
      <c r="N34" s="31"/>
      <c r="O34" s="31"/>
      <c r="P34" s="31"/>
      <c r="Q34" s="31"/>
      <c r="R34" s="31"/>
      <c r="U34" s="31"/>
      <c r="V34" s="31"/>
      <c r="W34" s="31"/>
      <c r="X34" s="31"/>
    </row>
    <row r="35" spans="2:24" ht="14.1" customHeight="1">
      <c r="B35" s="43" t="s">
        <v>26</v>
      </c>
      <c r="C35" s="31">
        <v>9227.0435290000005</v>
      </c>
      <c r="D35" s="31">
        <v>76499.001082999996</v>
      </c>
      <c r="E35" s="31">
        <v>5504.986533000003</v>
      </c>
      <c r="F35" s="31">
        <v>6531.5756799999945</v>
      </c>
      <c r="G35" s="31">
        <v>20611.422850999999</v>
      </c>
      <c r="H35" s="31">
        <v>12028.193759000002</v>
      </c>
      <c r="I35" s="31">
        <v>12740.383389999999</v>
      </c>
      <c r="J35" s="31">
        <v>14159.582416999998</v>
      </c>
      <c r="K35" s="31">
        <v>11726.291419000001</v>
      </c>
      <c r="L35" s="31">
        <v>4753.7008380000007</v>
      </c>
      <c r="M35" s="31">
        <v>12712.252777999998</v>
      </c>
      <c r="N35" s="31">
        <v>8184.6918710000027</v>
      </c>
      <c r="O35" s="31">
        <v>9538.823805</v>
      </c>
      <c r="P35" s="31">
        <v>10612.751057999998</v>
      </c>
      <c r="Q35" s="31">
        <v>7690.2586009999977</v>
      </c>
      <c r="R35" s="31">
        <v>8945.5064760000096</v>
      </c>
      <c r="U35" s="31">
        <f t="shared" si="1"/>
        <v>97762.606824999995</v>
      </c>
      <c r="V35" s="31">
        <f t="shared" si="1"/>
        <v>59539.582416999998</v>
      </c>
      <c r="W35" s="31">
        <f t="shared" si="1"/>
        <v>37376.936906000003</v>
      </c>
      <c r="X35" s="31">
        <f t="shared" si="1"/>
        <v>36787.339940000005</v>
      </c>
    </row>
    <row r="36" spans="2:24" ht="14.1" customHeight="1">
      <c r="B36" s="43" t="s">
        <v>27</v>
      </c>
      <c r="C36" s="31">
        <v>0</v>
      </c>
      <c r="D36" s="31">
        <v>5069.8526849999998</v>
      </c>
      <c r="E36" s="31">
        <v>0</v>
      </c>
      <c r="F36" s="31">
        <v>0</v>
      </c>
      <c r="G36" s="31">
        <v>0</v>
      </c>
      <c r="H36" s="31">
        <v>0</v>
      </c>
      <c r="I36" s="31">
        <v>0</v>
      </c>
      <c r="J36" s="31">
        <v>0</v>
      </c>
      <c r="K36" s="31">
        <v>0</v>
      </c>
      <c r="L36" s="31">
        <v>0</v>
      </c>
      <c r="M36" s="31">
        <v>0</v>
      </c>
      <c r="N36" s="31">
        <v>0</v>
      </c>
      <c r="O36" s="31">
        <v>0</v>
      </c>
      <c r="P36" s="31">
        <v>0</v>
      </c>
      <c r="Q36" s="31">
        <v>0</v>
      </c>
      <c r="R36" s="31">
        <v>0</v>
      </c>
      <c r="U36" s="31">
        <f t="shared" si="1"/>
        <v>5069.8526849999998</v>
      </c>
      <c r="V36" s="31">
        <f t="shared" si="1"/>
        <v>0</v>
      </c>
      <c r="W36" s="31">
        <f t="shared" si="1"/>
        <v>0</v>
      </c>
      <c r="X36" s="31">
        <f t="shared" si="1"/>
        <v>0</v>
      </c>
    </row>
    <row r="37" spans="2:24" ht="14.1" customHeight="1">
      <c r="B37" s="43" t="s">
        <v>28</v>
      </c>
      <c r="C37" s="31">
        <v>6358.318131</v>
      </c>
      <c r="D37" s="31">
        <v>6882.5010859999948</v>
      </c>
      <c r="E37" s="31">
        <v>603.26984900000934</v>
      </c>
      <c r="F37" s="31">
        <v>5222.630377999998</v>
      </c>
      <c r="G37" s="31">
        <v>11803.564582000005</v>
      </c>
      <c r="H37" s="31">
        <v>2642.5166969999846</v>
      </c>
      <c r="I37" s="31">
        <v>1594.9187210000109</v>
      </c>
      <c r="J37" s="31">
        <v>46965.437116000008</v>
      </c>
      <c r="K37" s="31">
        <v>12548.313164999998</v>
      </c>
      <c r="L37" s="31">
        <v>20609.063279000002</v>
      </c>
      <c r="M37" s="31">
        <v>2516.7068670000008</v>
      </c>
      <c r="N37" s="31">
        <v>126231.24496899999</v>
      </c>
      <c r="O37" s="31">
        <v>10185.722494000001</v>
      </c>
      <c r="P37" s="31">
        <v>3428.9187190000011</v>
      </c>
      <c r="Q37" s="31">
        <v>3988.7942720000028</v>
      </c>
      <c r="R37" s="31">
        <v>18908.372018999977</v>
      </c>
      <c r="U37" s="31">
        <f t="shared" si="1"/>
        <v>19066.719444000002</v>
      </c>
      <c r="V37" s="31">
        <f t="shared" si="1"/>
        <v>63006.437116000008</v>
      </c>
      <c r="W37" s="31">
        <f t="shared" si="1"/>
        <v>161905.32827999999</v>
      </c>
      <c r="X37" s="31">
        <f t="shared" si="1"/>
        <v>36511.807503999982</v>
      </c>
    </row>
    <row r="38" spans="2:24" ht="14.1" customHeight="1">
      <c r="B38" s="43" t="s">
        <v>29</v>
      </c>
      <c r="C38" s="31">
        <v>-34264.98777</v>
      </c>
      <c r="D38" s="31">
        <v>-45162.757084999997</v>
      </c>
      <c r="E38" s="31">
        <v>-42337.645086999997</v>
      </c>
      <c r="F38" s="31">
        <v>-47530.03527399998</v>
      </c>
      <c r="G38" s="31">
        <v>-41978.329998999994</v>
      </c>
      <c r="H38" s="31">
        <v>-38807.155329000016</v>
      </c>
      <c r="I38" s="31">
        <v>-38876.51467199999</v>
      </c>
      <c r="J38" s="31">
        <v>-34713.109364000004</v>
      </c>
      <c r="K38" s="31">
        <v>-36438.271232000006</v>
      </c>
      <c r="L38" s="31">
        <v>-38517.51413399999</v>
      </c>
      <c r="M38" s="31">
        <v>-33439.854227000003</v>
      </c>
      <c r="N38" s="31">
        <v>-33638.367178000015</v>
      </c>
      <c r="O38" s="31">
        <v>-33489.946170999996</v>
      </c>
      <c r="P38" s="31">
        <v>-35363.309400000006</v>
      </c>
      <c r="Q38" s="31">
        <v>-34266.504476000002</v>
      </c>
      <c r="R38" s="31">
        <v>-54479.879884000009</v>
      </c>
      <c r="U38" s="31">
        <f t="shared" si="1"/>
        <v>-169295.42521599997</v>
      </c>
      <c r="V38" s="31">
        <f t="shared" si="1"/>
        <v>-154375.109364</v>
      </c>
      <c r="W38" s="31">
        <f t="shared" si="1"/>
        <v>-142034.00677100001</v>
      </c>
      <c r="X38" s="31">
        <f t="shared" si="1"/>
        <v>-157599.63993100001</v>
      </c>
    </row>
    <row r="39" spans="2:24" ht="14.1" customHeight="1">
      <c r="B39" s="43" t="s">
        <v>30</v>
      </c>
      <c r="C39" s="31">
        <v>-40529.054734000005</v>
      </c>
      <c r="D39" s="31">
        <v>-5372.0955810000014</v>
      </c>
      <c r="E39" s="31">
        <v>-7305.18474099999</v>
      </c>
      <c r="F39" s="31">
        <v>-81670.638066000029</v>
      </c>
      <c r="G39" s="31">
        <v>-35102.542234</v>
      </c>
      <c r="H39" s="31">
        <v>-2154.9054120000001</v>
      </c>
      <c r="I39" s="31">
        <v>-5015.5523539999995</v>
      </c>
      <c r="J39" s="31">
        <v>-30815.454208999989</v>
      </c>
      <c r="K39" s="31">
        <v>-35311.740277000012</v>
      </c>
      <c r="L39" s="31">
        <v>-4073.2293299999801</v>
      </c>
      <c r="M39" s="31">
        <v>-5715.1858189999984</v>
      </c>
      <c r="N39" s="31">
        <v>-5834.1367979999995</v>
      </c>
      <c r="O39" s="31">
        <v>-39064.567357000007</v>
      </c>
      <c r="P39" s="31">
        <v>-4694.9758709999951</v>
      </c>
      <c r="Q39" s="31">
        <v>-35858.618614000014</v>
      </c>
      <c r="R39" s="31">
        <v>-27887.917147</v>
      </c>
      <c r="U39" s="31">
        <f t="shared" si="1"/>
        <v>-134876.97312200002</v>
      </c>
      <c r="V39" s="31">
        <f t="shared" si="1"/>
        <v>-73088.454208999989</v>
      </c>
      <c r="W39" s="31">
        <f t="shared" si="1"/>
        <v>-50934.29222399999</v>
      </c>
      <c r="X39" s="31">
        <f t="shared" si="1"/>
        <v>-107506.07898900002</v>
      </c>
    </row>
    <row r="40" spans="2:24" ht="14.1" customHeight="1">
      <c r="B40" s="43" t="s">
        <v>31</v>
      </c>
      <c r="C40" s="31">
        <v>1574.9453520000006</v>
      </c>
      <c r="D40" s="31">
        <v>7073.2078659999988</v>
      </c>
      <c r="E40" s="31">
        <v>-17923.016981000001</v>
      </c>
      <c r="F40" s="31">
        <v>-3018.9514719999988</v>
      </c>
      <c r="G40" s="31">
        <v>23769.337148999999</v>
      </c>
      <c r="H40" s="31">
        <v>940.19353300000512</v>
      </c>
      <c r="I40" s="31">
        <v>-2138.5306820000042</v>
      </c>
      <c r="J40" s="31">
        <v>3017.5658540000004</v>
      </c>
      <c r="K40" s="31">
        <v>-6092.6781460000002</v>
      </c>
      <c r="L40" s="31">
        <v>-7604.961854000001</v>
      </c>
      <c r="M40" s="31">
        <v>125.10783100000117</v>
      </c>
      <c r="N40" s="31">
        <v>603.06479199999922</v>
      </c>
      <c r="O40" s="31">
        <v>-3578.660938</v>
      </c>
      <c r="P40" s="31">
        <v>4669.4010430000008</v>
      </c>
      <c r="Q40" s="31">
        <v>-5141.7429120000015</v>
      </c>
      <c r="R40" s="31">
        <v>799.51240199999665</v>
      </c>
      <c r="U40" s="31">
        <f t="shared" si="1"/>
        <v>-12293.815235</v>
      </c>
      <c r="V40" s="31">
        <f t="shared" si="1"/>
        <v>25588.565854</v>
      </c>
      <c r="W40" s="31">
        <f t="shared" si="1"/>
        <v>-12969.467377000001</v>
      </c>
      <c r="X40" s="31">
        <f t="shared" si="1"/>
        <v>-3251.4904050000041</v>
      </c>
    </row>
    <row r="41" spans="2:24" ht="14.1" customHeight="1">
      <c r="B41" s="50" t="s">
        <v>32</v>
      </c>
      <c r="C41" s="46">
        <v>-57633.735492</v>
      </c>
      <c r="D41" s="46">
        <v>44989.710053999988</v>
      </c>
      <c r="E41" s="46">
        <v>-61457.590426999974</v>
      </c>
      <c r="F41" s="46">
        <v>-120465.41875400001</v>
      </c>
      <c r="G41" s="46">
        <v>-20896.547650999993</v>
      </c>
      <c r="H41" s="46">
        <v>-25351.156752000024</v>
      </c>
      <c r="I41" s="46">
        <v>-31695.295596999982</v>
      </c>
      <c r="J41" s="46">
        <v>-1385.9781859999857</v>
      </c>
      <c r="K41" s="46">
        <v>-53568.085071000016</v>
      </c>
      <c r="L41" s="46">
        <v>-24832.941200999969</v>
      </c>
      <c r="M41" s="46">
        <v>-23800.972570000002</v>
      </c>
      <c r="N41" s="46">
        <v>95546.497655999978</v>
      </c>
      <c r="O41" s="46">
        <v>-56408.628167000003</v>
      </c>
      <c r="P41" s="46">
        <v>-21347.214450999993</v>
      </c>
      <c r="Q41" s="46">
        <v>-63587.813129000016</v>
      </c>
      <c r="R41" s="46">
        <v>-53714.406134000033</v>
      </c>
      <c r="U41" s="46">
        <f t="shared" ref="U41:X47" si="2">+SUMIFS($C41:$S41,$C$4:$S$4,U$3)</f>
        <v>-194567.03461899998</v>
      </c>
      <c r="V41" s="46">
        <f t="shared" si="2"/>
        <v>-79328.978185999993</v>
      </c>
      <c r="W41" s="46">
        <f t="shared" si="2"/>
        <v>-6655.5011860000086</v>
      </c>
      <c r="X41" s="46">
        <f t="shared" si="2"/>
        <v>-195058.06188100006</v>
      </c>
    </row>
    <row r="42" spans="2:24" ht="14.1" customHeight="1">
      <c r="B42" s="51"/>
      <c r="C42" s="31"/>
      <c r="D42" s="31"/>
      <c r="E42" s="31"/>
      <c r="F42" s="31"/>
      <c r="G42" s="31"/>
      <c r="H42" s="31"/>
      <c r="I42" s="31"/>
      <c r="J42" s="31"/>
      <c r="K42" s="31"/>
      <c r="L42" s="31"/>
      <c r="M42" s="31"/>
      <c r="N42" s="31"/>
      <c r="O42" s="31"/>
      <c r="P42" s="31"/>
      <c r="Q42" s="31"/>
      <c r="R42" s="31"/>
      <c r="U42" s="31"/>
      <c r="V42" s="31"/>
      <c r="W42" s="31"/>
      <c r="X42" s="31"/>
    </row>
    <row r="43" spans="2:24" ht="14.1" customHeight="1">
      <c r="B43" s="37" t="s">
        <v>33</v>
      </c>
      <c r="C43" s="38">
        <v>105917.86837800007</v>
      </c>
      <c r="D43" s="38">
        <v>186247.99902200009</v>
      </c>
      <c r="E43" s="38">
        <v>64282.40563899999</v>
      </c>
      <c r="F43" s="38">
        <v>30930.344644999859</v>
      </c>
      <c r="G43" s="38">
        <v>156224.21729899984</v>
      </c>
      <c r="H43" s="38">
        <v>111593.539298</v>
      </c>
      <c r="I43" s="38">
        <v>119241.24340300006</v>
      </c>
      <c r="J43" s="38">
        <v>126099.01471699998</v>
      </c>
      <c r="K43" s="38">
        <v>125212.95566900005</v>
      </c>
      <c r="L43" s="38">
        <v>171755.59620099998</v>
      </c>
      <c r="M43" s="38">
        <v>156134.01117000001</v>
      </c>
      <c r="N43" s="38">
        <v>256359.26889699948</v>
      </c>
      <c r="O43" s="38">
        <v>140630.02661100007</v>
      </c>
      <c r="P43" s="38">
        <v>281346.01569499972</v>
      </c>
      <c r="Q43" s="38">
        <v>73000.398905000009</v>
      </c>
      <c r="R43" s="38">
        <v>55497.051710999542</v>
      </c>
      <c r="U43" s="38">
        <f t="shared" si="2"/>
        <v>387378.61768400006</v>
      </c>
      <c r="V43" s="38">
        <f t="shared" si="2"/>
        <v>513158.01471699984</v>
      </c>
      <c r="W43" s="38">
        <f t="shared" si="2"/>
        <v>709461.83193699946</v>
      </c>
      <c r="X43" s="38">
        <f t="shared" si="2"/>
        <v>550473.49292199931</v>
      </c>
    </row>
    <row r="44" spans="2:24" ht="14.1" customHeight="1">
      <c r="B44" s="27"/>
      <c r="C44" s="31"/>
      <c r="D44" s="31"/>
      <c r="E44" s="31"/>
      <c r="F44" s="31"/>
      <c r="G44" s="31"/>
      <c r="H44" s="31"/>
      <c r="I44" s="31"/>
      <c r="J44" s="31"/>
      <c r="K44" s="31"/>
      <c r="L44" s="31"/>
      <c r="M44" s="31"/>
      <c r="N44" s="31"/>
      <c r="O44" s="31"/>
      <c r="P44" s="31"/>
      <c r="Q44" s="31"/>
      <c r="R44" s="31"/>
      <c r="U44" s="31"/>
      <c r="V44" s="31"/>
      <c r="W44" s="31"/>
      <c r="X44" s="31"/>
    </row>
    <row r="45" spans="2:24" ht="14.1" customHeight="1">
      <c r="B45" s="43" t="s">
        <v>34</v>
      </c>
      <c r="C45" s="31">
        <v>-45946.877999999997</v>
      </c>
      <c r="D45" s="31">
        <v>-40942.758159999998</v>
      </c>
      <c r="E45" s="31">
        <v>-27823.404999999999</v>
      </c>
      <c r="F45" s="31">
        <v>-22116.50735</v>
      </c>
      <c r="G45" s="31">
        <v>-47760.411999999997</v>
      </c>
      <c r="H45" s="31">
        <v>-27764.603266000006</v>
      </c>
      <c r="I45" s="31">
        <v>-34950.984733999998</v>
      </c>
      <c r="J45" s="31">
        <v>-31717.407134000008</v>
      </c>
      <c r="K45" s="31">
        <v>-48997.563730000002</v>
      </c>
      <c r="L45" s="31">
        <v>-49547.141746000001</v>
      </c>
      <c r="M45" s="31">
        <v>-44608.982726999995</v>
      </c>
      <c r="N45" s="31">
        <v>-51443.69879699999</v>
      </c>
      <c r="O45" s="31">
        <v>-54555.800920000001</v>
      </c>
      <c r="P45" s="31">
        <v>-91583.754455999995</v>
      </c>
      <c r="Q45" s="31">
        <v>-39000.986460999993</v>
      </c>
      <c r="R45" s="31">
        <v>-31640.534871000011</v>
      </c>
      <c r="U45" s="31">
        <f t="shared" si="2"/>
        <v>-136829.54850999999</v>
      </c>
      <c r="V45" s="31">
        <f t="shared" si="2"/>
        <v>-142193.40713400001</v>
      </c>
      <c r="W45" s="31">
        <f t="shared" si="2"/>
        <v>-194597.38699999999</v>
      </c>
      <c r="X45" s="31">
        <f t="shared" si="2"/>
        <v>-216781.07670800001</v>
      </c>
    </row>
    <row r="46" spans="2:24" ht="14.1" customHeight="1">
      <c r="B46" s="43" t="s">
        <v>35</v>
      </c>
      <c r="C46" s="31">
        <v>-23624.198788999998</v>
      </c>
      <c r="D46" s="31">
        <v>-47040.826111000002</v>
      </c>
      <c r="E46" s="31">
        <v>-23201.675017999994</v>
      </c>
      <c r="F46" s="31">
        <v>-3791.0074900000036</v>
      </c>
      <c r="G46" s="31">
        <v>-31156.719593000002</v>
      </c>
      <c r="H46" s="31">
        <v>-30483.200680000002</v>
      </c>
      <c r="I46" s="31">
        <v>-25571.079726999997</v>
      </c>
      <c r="J46" s="31">
        <v>-52994.322638000012</v>
      </c>
      <c r="K46" s="31">
        <v>-28247.078247000001</v>
      </c>
      <c r="L46" s="31">
        <v>-40785.194868999999</v>
      </c>
      <c r="M46" s="31">
        <v>-35554.425646000003</v>
      </c>
      <c r="N46" s="31">
        <v>-36632.310473000005</v>
      </c>
      <c r="O46" s="31">
        <v>-37101.156453000003</v>
      </c>
      <c r="P46" s="31">
        <v>-69742.946998999993</v>
      </c>
      <c r="Q46" s="31">
        <v>-31704.595871999991</v>
      </c>
      <c r="R46" s="31">
        <v>-24614.048548999999</v>
      </c>
      <c r="U46" s="31">
        <f t="shared" si="2"/>
        <v>-97657.707408000002</v>
      </c>
      <c r="V46" s="31">
        <f t="shared" si="2"/>
        <v>-140205.32263800001</v>
      </c>
      <c r="W46" s="31">
        <f t="shared" si="2"/>
        <v>-141219.009235</v>
      </c>
      <c r="X46" s="31">
        <f t="shared" si="2"/>
        <v>-163162.74787299999</v>
      </c>
    </row>
    <row r="47" spans="2:24" ht="14.1" customHeight="1">
      <c r="B47" s="37" t="s">
        <v>36</v>
      </c>
      <c r="C47" s="38">
        <v>36346.791589000073</v>
      </c>
      <c r="D47" s="38">
        <v>98264.414751000091</v>
      </c>
      <c r="E47" s="38">
        <v>13257.325620999996</v>
      </c>
      <c r="F47" s="38">
        <v>5022.8298049998557</v>
      </c>
      <c r="G47" s="38">
        <v>77307.085705999838</v>
      </c>
      <c r="H47" s="38">
        <v>53345.735351999996</v>
      </c>
      <c r="I47" s="38">
        <v>58719.178942000064</v>
      </c>
      <c r="J47" s="38">
        <v>41387.284944999963</v>
      </c>
      <c r="K47" s="38">
        <v>47968.313692000054</v>
      </c>
      <c r="L47" s="38">
        <v>81423.259585999971</v>
      </c>
      <c r="M47" s="38">
        <v>75970.602797000014</v>
      </c>
      <c r="N47" s="38">
        <v>168283.2596269995</v>
      </c>
      <c r="O47" s="38">
        <v>48973.069238000055</v>
      </c>
      <c r="P47" s="38">
        <v>120019.31423999972</v>
      </c>
      <c r="Q47" s="38">
        <v>2294.8165720000252</v>
      </c>
      <c r="R47" s="38">
        <v>-757.53170900046825</v>
      </c>
      <c r="U47" s="38">
        <f t="shared" si="2"/>
        <v>152891.36176599999</v>
      </c>
      <c r="V47" s="38">
        <f t="shared" si="2"/>
        <v>230759.28494499985</v>
      </c>
      <c r="W47" s="38">
        <f t="shared" si="2"/>
        <v>373645.43570199952</v>
      </c>
      <c r="X47" s="38">
        <f t="shared" si="2"/>
        <v>170529.66834099934</v>
      </c>
    </row>
    <row r="50" spans="2:24" ht="14.1" customHeight="1" thickBot="1">
      <c r="B50" s="28" t="s">
        <v>37</v>
      </c>
    </row>
    <row r="51" spans="2:24" ht="14.1" customHeight="1" thickTop="1">
      <c r="B51" s="17" t="s">
        <v>78</v>
      </c>
    </row>
    <row r="53" spans="2:24" ht="14.1" customHeight="1">
      <c r="B53" s="52" t="s">
        <v>38</v>
      </c>
      <c r="C53" s="53">
        <v>69703.282730000006</v>
      </c>
      <c r="D53" s="53">
        <v>85692.753179000007</v>
      </c>
      <c r="E53" s="53">
        <v>172501.514968</v>
      </c>
      <c r="F53" s="53">
        <v>233343.364413</v>
      </c>
      <c r="G53" s="53">
        <v>311892.116797</v>
      </c>
      <c r="H53" s="53">
        <v>253098.788833</v>
      </c>
      <c r="I53" s="53">
        <v>313174.06204500003</v>
      </c>
      <c r="J53" s="53">
        <v>299785.37868800003</v>
      </c>
      <c r="K53" s="53">
        <v>242795.44227900001</v>
      </c>
      <c r="L53" s="53">
        <v>179724.34841400001</v>
      </c>
      <c r="M53" s="53">
        <v>120526.365452</v>
      </c>
      <c r="N53" s="53">
        <v>200684.01637299999</v>
      </c>
      <c r="O53" s="53">
        <v>195699.980732</v>
      </c>
      <c r="P53" s="53">
        <v>173264.766557</v>
      </c>
      <c r="Q53" s="53">
        <v>451474.03382900002</v>
      </c>
      <c r="R53" s="53">
        <v>293746.76407500001</v>
      </c>
      <c r="U53" s="53">
        <f>+F53</f>
        <v>233343.364413</v>
      </c>
      <c r="V53" s="53">
        <f>+J53</f>
        <v>299785.37868800003</v>
      </c>
      <c r="W53" s="53">
        <f>+N53</f>
        <v>200684.01637299999</v>
      </c>
      <c r="X53" s="53">
        <f>+R53</f>
        <v>293746.76407500001</v>
      </c>
    </row>
    <row r="54" spans="2:24" ht="14.1" customHeight="1">
      <c r="B54" s="52" t="s">
        <v>39</v>
      </c>
      <c r="C54" s="53">
        <v>671221.84994699992</v>
      </c>
      <c r="D54" s="53">
        <v>594562.58569400001</v>
      </c>
      <c r="E54" s="53">
        <v>489867.54579399998</v>
      </c>
      <c r="F54" s="53">
        <v>451683.30255799991</v>
      </c>
      <c r="G54" s="53">
        <v>446140.64575899998</v>
      </c>
      <c r="H54" s="53">
        <v>436710.44614899997</v>
      </c>
      <c r="I54" s="53">
        <v>420660.60058699996</v>
      </c>
      <c r="J54" s="53">
        <v>444441.90156099998</v>
      </c>
      <c r="K54" s="53">
        <v>577003.27046600007</v>
      </c>
      <c r="L54" s="53">
        <v>540386.72181599995</v>
      </c>
      <c r="M54" s="53">
        <v>691245.394937</v>
      </c>
      <c r="N54" s="53">
        <v>697074.77867699997</v>
      </c>
      <c r="O54" s="53">
        <v>714349.37300200004</v>
      </c>
      <c r="P54" s="53">
        <v>647481.25248300005</v>
      </c>
      <c r="Q54" s="53">
        <v>491795.85128699994</v>
      </c>
      <c r="R54" s="53">
        <v>295753.06122700003</v>
      </c>
      <c r="U54" s="53">
        <f t="shared" ref="U54:U96" si="3">+F54</f>
        <v>451683.30255799991</v>
      </c>
      <c r="V54" s="53">
        <f t="shared" ref="V54:V96" si="4">+J54</f>
        <v>444441.90156099998</v>
      </c>
      <c r="W54" s="53">
        <f t="shared" ref="W54:W96" si="5">+N54</f>
        <v>697074.77867699997</v>
      </c>
      <c r="X54" s="53">
        <f t="shared" ref="X54:X96" si="6">+R54</f>
        <v>295753.06122700003</v>
      </c>
    </row>
    <row r="55" spans="2:24" ht="14.1" customHeight="1">
      <c r="B55" s="52" t="s">
        <v>40</v>
      </c>
      <c r="C55" s="53">
        <v>369602.92560000002</v>
      </c>
      <c r="D55" s="53">
        <v>390828.71461100003</v>
      </c>
      <c r="E55" s="53">
        <v>432821.33827099996</v>
      </c>
      <c r="F55" s="53">
        <v>342841.75576500001</v>
      </c>
      <c r="G55" s="53">
        <v>364589.58413099998</v>
      </c>
      <c r="H55" s="53">
        <v>400770.20068999997</v>
      </c>
      <c r="I55" s="53">
        <v>377400.53861799999</v>
      </c>
      <c r="J55" s="53">
        <v>273375.29726899997</v>
      </c>
      <c r="K55" s="53">
        <v>319289.484214</v>
      </c>
      <c r="L55" s="53">
        <v>405841.24638899998</v>
      </c>
      <c r="M55" s="53">
        <v>396953.24711399997</v>
      </c>
      <c r="N55" s="53">
        <v>305748</v>
      </c>
      <c r="O55" s="53">
        <v>352615.28492599999</v>
      </c>
      <c r="P55" s="53">
        <v>537696.25962600007</v>
      </c>
      <c r="Q55" s="53">
        <v>436116.40626400005</v>
      </c>
      <c r="R55" s="53">
        <v>438307.925858</v>
      </c>
      <c r="U55" s="53">
        <f t="shared" si="3"/>
        <v>342841.75576500001</v>
      </c>
      <c r="V55" s="53">
        <f t="shared" si="4"/>
        <v>273375.29726899997</v>
      </c>
      <c r="W55" s="53">
        <f t="shared" si="5"/>
        <v>305748</v>
      </c>
      <c r="X55" s="53">
        <f t="shared" si="6"/>
        <v>438307.925858</v>
      </c>
    </row>
    <row r="56" spans="2:24" ht="14.1" customHeight="1">
      <c r="B56" s="52" t="s">
        <v>41</v>
      </c>
      <c r="C56" s="53">
        <v>24380.164348999999</v>
      </c>
      <c r="D56" s="53">
        <v>18127.019945</v>
      </c>
      <c r="E56" s="53">
        <v>19909.528313000003</v>
      </c>
      <c r="F56" s="53">
        <v>20888</v>
      </c>
      <c r="G56" s="53">
        <v>18828.142721</v>
      </c>
      <c r="H56" s="53">
        <v>19420.157454</v>
      </c>
      <c r="I56" s="53">
        <v>17724.742776999999</v>
      </c>
      <c r="J56" s="53">
        <v>8397.5649539999995</v>
      </c>
      <c r="K56" s="53">
        <v>13271.404537</v>
      </c>
      <c r="L56" s="53">
        <v>14288.632755000001</v>
      </c>
      <c r="M56" s="53">
        <v>12484.610795000001</v>
      </c>
      <c r="N56" s="53">
        <v>10603</v>
      </c>
      <c r="O56" s="53">
        <v>28431.139692000004</v>
      </c>
      <c r="P56" s="53">
        <v>46412.784346000008</v>
      </c>
      <c r="Q56" s="53">
        <v>72962.809101999999</v>
      </c>
      <c r="R56" s="53">
        <v>72317.648866000003</v>
      </c>
      <c r="U56" s="53">
        <f t="shared" si="3"/>
        <v>20888</v>
      </c>
      <c r="V56" s="53">
        <f t="shared" si="4"/>
        <v>8397.5649539999995</v>
      </c>
      <c r="W56" s="53">
        <f t="shared" si="5"/>
        <v>10603</v>
      </c>
      <c r="X56" s="53">
        <f t="shared" si="6"/>
        <v>72317.648866000003</v>
      </c>
    </row>
    <row r="57" spans="2:24" ht="14.1" customHeight="1">
      <c r="B57" s="52" t="s">
        <v>42</v>
      </c>
      <c r="C57" s="53">
        <v>30066.418452999998</v>
      </c>
      <c r="D57" s="53">
        <v>16038.768443999999</v>
      </c>
      <c r="E57" s="53">
        <v>15789.059244</v>
      </c>
      <c r="F57" s="53">
        <v>12517.610844999999</v>
      </c>
      <c r="G57" s="53">
        <v>19158.291659999999</v>
      </c>
      <c r="H57" s="53">
        <v>4490.6124659999996</v>
      </c>
      <c r="I57" s="53">
        <v>36258.981339999998</v>
      </c>
      <c r="J57" s="53">
        <v>29536.057043000001</v>
      </c>
      <c r="K57" s="53">
        <v>25792.914930999999</v>
      </c>
      <c r="L57" s="53">
        <v>21706.064724</v>
      </c>
      <c r="M57" s="53">
        <v>12281.892948999999</v>
      </c>
      <c r="N57" s="53">
        <v>6067.7055659999996</v>
      </c>
      <c r="O57" s="53">
        <v>31173.070996999999</v>
      </c>
      <c r="P57" s="53">
        <v>50118.171159999998</v>
      </c>
      <c r="Q57" s="53">
        <v>13820.498944999999</v>
      </c>
      <c r="R57" s="53">
        <v>51517.604456000001</v>
      </c>
      <c r="U57" s="53">
        <f t="shared" si="3"/>
        <v>12517.610844999999</v>
      </c>
      <c r="V57" s="53">
        <f t="shared" si="4"/>
        <v>29536.057043000001</v>
      </c>
      <c r="W57" s="53">
        <f t="shared" si="5"/>
        <v>6067.7055659999996</v>
      </c>
      <c r="X57" s="53">
        <f t="shared" si="6"/>
        <v>51517.604456000001</v>
      </c>
    </row>
    <row r="58" spans="2:24" ht="14.1" customHeight="1">
      <c r="B58" s="39" t="s">
        <v>43</v>
      </c>
      <c r="C58" s="54">
        <v>1164974.641079</v>
      </c>
      <c r="D58" s="54">
        <v>1105249.8418730001</v>
      </c>
      <c r="E58" s="54">
        <v>1130888.9865899999</v>
      </c>
      <c r="F58" s="54">
        <v>1061274</v>
      </c>
      <c r="G58" s="54">
        <v>1160608.7810679998</v>
      </c>
      <c r="H58" s="54">
        <v>1114490.2055920002</v>
      </c>
      <c r="I58" s="54">
        <v>1165218.9253669998</v>
      </c>
      <c r="J58" s="54">
        <v>1055536.199515</v>
      </c>
      <c r="K58" s="54">
        <v>1178152.5164270001</v>
      </c>
      <c r="L58" s="54">
        <v>1161947.0140979998</v>
      </c>
      <c r="M58" s="54">
        <v>1233491.511247</v>
      </c>
      <c r="N58" s="54">
        <v>1220178</v>
      </c>
      <c r="O58" s="54">
        <v>1322268.849349</v>
      </c>
      <c r="P58" s="54">
        <v>1454973.2341720001</v>
      </c>
      <c r="Q58" s="54">
        <v>1466169.5994270002</v>
      </c>
      <c r="R58" s="54">
        <v>1151643.0044820001</v>
      </c>
      <c r="U58" s="54">
        <f t="shared" si="3"/>
        <v>1061274</v>
      </c>
      <c r="V58" s="54">
        <f t="shared" si="4"/>
        <v>1055536.199515</v>
      </c>
      <c r="W58" s="54">
        <f t="shared" si="5"/>
        <v>1220178</v>
      </c>
      <c r="X58" s="54">
        <f t="shared" si="6"/>
        <v>1151643.0044820001</v>
      </c>
    </row>
    <row r="59" spans="2:24" ht="14.1" customHeight="1">
      <c r="B59" s="52"/>
      <c r="C59" s="27"/>
      <c r="D59" s="27"/>
      <c r="E59" s="27"/>
      <c r="F59" s="27"/>
      <c r="G59" s="55"/>
      <c r="H59" s="27"/>
      <c r="I59" s="27"/>
      <c r="J59" s="27"/>
      <c r="K59" s="27"/>
      <c r="L59" s="27"/>
      <c r="M59" s="27"/>
      <c r="N59" s="27"/>
      <c r="O59" s="27"/>
      <c r="P59" s="27"/>
      <c r="Q59" s="27"/>
      <c r="R59" s="27"/>
      <c r="U59" s="27"/>
      <c r="V59" s="27"/>
      <c r="W59" s="27"/>
      <c r="X59" s="27"/>
    </row>
    <row r="60" spans="2:24" ht="14.1" customHeight="1">
      <c r="B60" s="52" t="s">
        <v>45</v>
      </c>
      <c r="C60" s="53">
        <v>2325.5302529999999</v>
      </c>
      <c r="D60" s="53">
        <v>2150.3192570000001</v>
      </c>
      <c r="E60" s="53">
        <v>1827.858416</v>
      </c>
      <c r="F60" s="53">
        <v>1874.4397690000001</v>
      </c>
      <c r="G60" s="53">
        <v>1907.6739689999999</v>
      </c>
      <c r="H60" s="53">
        <v>1775.0793759999999</v>
      </c>
      <c r="I60" s="53">
        <v>3327.6629560000001</v>
      </c>
      <c r="J60" s="53">
        <v>3502.4597940000003</v>
      </c>
      <c r="K60" s="53">
        <v>3450.5474439999998</v>
      </c>
      <c r="L60" s="53">
        <v>3412.3812210000001</v>
      </c>
      <c r="M60" s="53">
        <v>4040.2233539999997</v>
      </c>
      <c r="N60" s="53">
        <v>12390</v>
      </c>
      <c r="O60" s="53">
        <v>11375.297912999988</v>
      </c>
      <c r="P60" s="53">
        <v>10957.934957999998</v>
      </c>
      <c r="Q60" s="53">
        <v>6910.5242669999989</v>
      </c>
      <c r="R60" s="53">
        <v>34327.370365000002</v>
      </c>
      <c r="U60" s="53">
        <f t="shared" si="3"/>
        <v>1874.4397690000001</v>
      </c>
      <c r="V60" s="53">
        <f t="shared" si="4"/>
        <v>3502.4597940000003</v>
      </c>
      <c r="W60" s="53">
        <f t="shared" si="5"/>
        <v>12390</v>
      </c>
      <c r="X60" s="53">
        <f t="shared" si="6"/>
        <v>34327.370365000002</v>
      </c>
    </row>
    <row r="61" spans="2:24" ht="14.1" customHeight="1">
      <c r="B61" s="52" t="s">
        <v>46</v>
      </c>
      <c r="C61" s="53">
        <v>34904.032437000002</v>
      </c>
      <c r="D61" s="53">
        <v>36110.583463000003</v>
      </c>
      <c r="E61" s="53">
        <v>37494.076041</v>
      </c>
      <c r="F61" s="53">
        <v>38488</v>
      </c>
      <c r="G61" s="53">
        <v>40987.747382000001</v>
      </c>
      <c r="H61" s="53">
        <v>40552.877037999999</v>
      </c>
      <c r="I61" s="53">
        <v>45922.888594000011</v>
      </c>
      <c r="J61" s="53">
        <v>47297.832677999992</v>
      </c>
      <c r="K61" s="53">
        <v>49647.295518999999</v>
      </c>
      <c r="L61" s="53">
        <v>43144.976157999998</v>
      </c>
      <c r="M61" s="53">
        <v>47093.494292000003</v>
      </c>
      <c r="N61" s="53">
        <v>46604.813028999997</v>
      </c>
      <c r="O61" s="53">
        <v>48763.314878999998</v>
      </c>
      <c r="P61" s="53">
        <v>53897.69791499999</v>
      </c>
      <c r="Q61" s="53">
        <v>0</v>
      </c>
      <c r="R61" s="53">
        <v>0</v>
      </c>
      <c r="U61" s="53">
        <f t="shared" si="3"/>
        <v>38488</v>
      </c>
      <c r="V61" s="53">
        <f t="shared" si="4"/>
        <v>47297.832677999992</v>
      </c>
      <c r="W61" s="53">
        <f t="shared" si="5"/>
        <v>46604.813028999997</v>
      </c>
      <c r="X61" s="53">
        <f t="shared" si="6"/>
        <v>0</v>
      </c>
    </row>
    <row r="62" spans="2:24" ht="14.1" customHeight="1">
      <c r="B62" s="52" t="s">
        <v>47</v>
      </c>
      <c r="C62" s="53">
        <v>96573.731075999996</v>
      </c>
      <c r="D62" s="53">
        <v>113374.38243100001</v>
      </c>
      <c r="E62" s="53">
        <v>101819.18870899999</v>
      </c>
      <c r="F62" s="53">
        <v>101812.38997400001</v>
      </c>
      <c r="G62" s="53">
        <v>101811.886957</v>
      </c>
      <c r="H62" s="53">
        <v>103414.94516999999</v>
      </c>
      <c r="I62" s="53">
        <v>103472.638656</v>
      </c>
      <c r="J62" s="53">
        <v>102604.585253</v>
      </c>
      <c r="K62" s="53">
        <v>102512.926771</v>
      </c>
      <c r="L62" s="53">
        <v>105709.550515</v>
      </c>
      <c r="M62" s="53">
        <v>106966.217122</v>
      </c>
      <c r="N62" s="53">
        <v>101059.827534</v>
      </c>
      <c r="O62" s="53">
        <v>97338.680372999996</v>
      </c>
      <c r="P62" s="53">
        <v>97338.680372999996</v>
      </c>
      <c r="Q62" s="53">
        <v>97338.680372999996</v>
      </c>
      <c r="R62" s="53">
        <v>96825.20876400001</v>
      </c>
      <c r="U62" s="53">
        <f t="shared" si="3"/>
        <v>101812.38997400001</v>
      </c>
      <c r="V62" s="53">
        <f t="shared" si="4"/>
        <v>102604.585253</v>
      </c>
      <c r="W62" s="53">
        <f t="shared" si="5"/>
        <v>101059.827534</v>
      </c>
      <c r="X62" s="53">
        <f t="shared" si="6"/>
        <v>96825.20876400001</v>
      </c>
    </row>
    <row r="63" spans="2:24" ht="14.1" customHeight="1">
      <c r="B63" s="52" t="s">
        <v>48</v>
      </c>
      <c r="C63" s="53">
        <v>3080626.125556</v>
      </c>
      <c r="D63" s="53">
        <v>3114045.229448</v>
      </c>
      <c r="E63" s="53">
        <v>3154800.5021000002</v>
      </c>
      <c r="F63" s="53">
        <v>3202795.774251</v>
      </c>
      <c r="G63" s="53">
        <v>3203171.7573409998</v>
      </c>
      <c r="H63" s="53">
        <v>3212642.2414870001</v>
      </c>
      <c r="I63" s="53">
        <v>3228268.9322620002</v>
      </c>
      <c r="J63" s="53">
        <v>3268327.7966069998</v>
      </c>
      <c r="K63" s="53">
        <v>3254366.409494</v>
      </c>
      <c r="L63" s="53">
        <v>3254184.9030650002</v>
      </c>
      <c r="M63" s="53">
        <v>3276712.1130530001</v>
      </c>
      <c r="N63" s="53">
        <v>3342856.154929</v>
      </c>
      <c r="O63" s="53">
        <v>3344458.1371940002</v>
      </c>
      <c r="P63" s="53">
        <v>3362445.7005940001</v>
      </c>
      <c r="Q63" s="53">
        <v>3415766.9799000002</v>
      </c>
      <c r="R63" s="53">
        <v>4937733.0314269997</v>
      </c>
      <c r="U63" s="53">
        <f t="shared" si="3"/>
        <v>3202795.774251</v>
      </c>
      <c r="V63" s="53">
        <f t="shared" si="4"/>
        <v>3268327.7966069998</v>
      </c>
      <c r="W63" s="53">
        <f t="shared" si="5"/>
        <v>3342856.154929</v>
      </c>
      <c r="X63" s="53">
        <f t="shared" si="6"/>
        <v>4937733.0314269997</v>
      </c>
    </row>
    <row r="64" spans="2:24" ht="14.1" customHeight="1">
      <c r="B64" s="52" t="s">
        <v>49</v>
      </c>
      <c r="C64" s="53">
        <v>55999.540598</v>
      </c>
      <c r="D64" s="53">
        <v>55551.820324</v>
      </c>
      <c r="E64" s="53">
        <v>55449.269181000003</v>
      </c>
      <c r="F64" s="53">
        <v>67139.214349000002</v>
      </c>
      <c r="G64" s="53">
        <v>67567.410130000004</v>
      </c>
      <c r="H64" s="53">
        <v>67597.158253000001</v>
      </c>
      <c r="I64" s="53">
        <v>56911.272817999998</v>
      </c>
      <c r="J64" s="53">
        <v>63757.315908999997</v>
      </c>
      <c r="K64" s="53">
        <v>62955.876829000001</v>
      </c>
      <c r="L64" s="53">
        <v>61751.922673000001</v>
      </c>
      <c r="M64" s="53">
        <v>62102.287679000001</v>
      </c>
      <c r="N64" s="53">
        <v>31176.595929999999</v>
      </c>
      <c r="O64" s="53">
        <v>30412.269640999999</v>
      </c>
      <c r="P64" s="53">
        <v>30133.647842999999</v>
      </c>
      <c r="Q64" s="53">
        <v>29317.183949999999</v>
      </c>
      <c r="R64" s="53">
        <v>32717.230617000001</v>
      </c>
      <c r="U64" s="53">
        <f t="shared" si="3"/>
        <v>67139.214349000002</v>
      </c>
      <c r="V64" s="53">
        <f t="shared" si="4"/>
        <v>63757.315908999997</v>
      </c>
      <c r="W64" s="53">
        <f t="shared" si="5"/>
        <v>31176.595929999999</v>
      </c>
      <c r="X64" s="53">
        <f t="shared" si="6"/>
        <v>32717.230617000001</v>
      </c>
    </row>
    <row r="65" spans="2:24" ht="14.1" customHeight="1">
      <c r="B65" s="52" t="s">
        <v>50</v>
      </c>
      <c r="C65" s="53">
        <v>6858.9835540000004</v>
      </c>
      <c r="D65" s="53" t="s">
        <v>44</v>
      </c>
      <c r="E65" s="53">
        <v>15887.925945000001</v>
      </c>
      <c r="F65" s="53">
        <v>29319.71272</v>
      </c>
      <c r="G65" s="53">
        <v>33053.228440999999</v>
      </c>
      <c r="H65" s="53">
        <v>42279.540261000002</v>
      </c>
      <c r="I65" s="53">
        <v>53598.198090999998</v>
      </c>
      <c r="J65" s="53">
        <v>71275.912213000003</v>
      </c>
      <c r="K65" s="53">
        <v>87177.033301000003</v>
      </c>
      <c r="L65" s="53">
        <v>116999.56017500001</v>
      </c>
      <c r="M65" s="53">
        <v>142870.102782</v>
      </c>
      <c r="N65" s="53">
        <v>163308.73027199999</v>
      </c>
      <c r="O65" s="53">
        <v>177405.738965</v>
      </c>
      <c r="P65" s="53">
        <v>202450.87906800001</v>
      </c>
      <c r="Q65" s="53">
        <v>221621.973895</v>
      </c>
      <c r="R65" s="53">
        <v>237701.92267199999</v>
      </c>
      <c r="U65" s="53">
        <f t="shared" si="3"/>
        <v>29319.71272</v>
      </c>
      <c r="V65" s="53">
        <f t="shared" si="4"/>
        <v>71275.912213000003</v>
      </c>
      <c r="W65" s="53">
        <f t="shared" si="5"/>
        <v>163308.73027199999</v>
      </c>
      <c r="X65" s="53">
        <f t="shared" si="6"/>
        <v>237701.92267199999</v>
      </c>
    </row>
    <row r="66" spans="2:24" ht="14.1" customHeight="1">
      <c r="B66" s="52" t="s">
        <v>51</v>
      </c>
      <c r="C66" s="53">
        <v>524041.71118099999</v>
      </c>
      <c r="D66" s="53">
        <v>504623.90018300002</v>
      </c>
      <c r="E66" s="53">
        <v>492942.83371899999</v>
      </c>
      <c r="F66" s="53">
        <v>424826.31950700004</v>
      </c>
      <c r="G66" s="53">
        <v>412545.66830199998</v>
      </c>
      <c r="H66" s="53">
        <v>401402.69252800004</v>
      </c>
      <c r="I66" s="53">
        <v>289586.94572700001</v>
      </c>
      <c r="J66" s="53">
        <v>285520.85438700003</v>
      </c>
      <c r="K66" s="53">
        <v>280392.48488499998</v>
      </c>
      <c r="L66" s="53">
        <v>276444.51898699999</v>
      </c>
      <c r="M66" s="53">
        <v>271601.02404500003</v>
      </c>
      <c r="N66" s="53">
        <v>268127.51625400002</v>
      </c>
      <c r="O66" s="53">
        <v>263455.26830699999</v>
      </c>
      <c r="P66" s="53">
        <v>259371.63526299997</v>
      </c>
      <c r="Q66" s="53">
        <v>257255.68301099999</v>
      </c>
      <c r="R66" s="53">
        <v>759966.01367637771</v>
      </c>
      <c r="U66" s="53">
        <f t="shared" si="3"/>
        <v>424826.31950700004</v>
      </c>
      <c r="V66" s="53">
        <f t="shared" si="4"/>
        <v>285520.85438700003</v>
      </c>
      <c r="W66" s="53">
        <f t="shared" si="5"/>
        <v>268127.51625400002</v>
      </c>
      <c r="X66" s="53">
        <f t="shared" si="6"/>
        <v>759966.01367637771</v>
      </c>
    </row>
    <row r="67" spans="2:24" ht="14.1" customHeight="1">
      <c r="B67" s="52" t="s">
        <v>52</v>
      </c>
      <c r="C67" s="53">
        <v>717.78839099998731</v>
      </c>
      <c r="D67" s="53">
        <v>767.51591100032601</v>
      </c>
      <c r="E67" s="53">
        <v>767.51591100014048</v>
      </c>
      <c r="F67" s="53">
        <v>767.51591100026144</v>
      </c>
      <c r="G67" s="53">
        <v>767.51591100008045</v>
      </c>
      <c r="H67" s="53">
        <v>767.51591100042424</v>
      </c>
      <c r="I67" s="53">
        <v>767.51591100015503</v>
      </c>
      <c r="J67" s="53">
        <v>825.51591099943471</v>
      </c>
      <c r="K67" s="53">
        <v>825.51591099976213</v>
      </c>
      <c r="L67" s="53">
        <v>825.51591099970392</v>
      </c>
      <c r="M67" s="53">
        <v>825.515911000286</v>
      </c>
      <c r="N67" s="53">
        <v>810.21591099980287</v>
      </c>
      <c r="O67" s="53">
        <v>810.21591099968646</v>
      </c>
      <c r="P67" s="53">
        <v>810.21591099968646</v>
      </c>
      <c r="Q67" s="53">
        <v>810.21591099989018</v>
      </c>
      <c r="R67" s="53">
        <v>810.21591100050136</v>
      </c>
      <c r="U67" s="53">
        <f t="shared" si="3"/>
        <v>767.51591100026144</v>
      </c>
      <c r="V67" s="53">
        <f t="shared" si="4"/>
        <v>825.51591099943471</v>
      </c>
      <c r="W67" s="53">
        <f t="shared" si="5"/>
        <v>810.21591099980287</v>
      </c>
      <c r="X67" s="53">
        <f t="shared" si="6"/>
        <v>810.21591100050136</v>
      </c>
    </row>
    <row r="68" spans="2:24" ht="14.1" customHeight="1">
      <c r="B68" s="52" t="s">
        <v>53</v>
      </c>
      <c r="C68" s="53">
        <v>1916954.3778979999</v>
      </c>
      <c r="D68" s="53">
        <v>1919961.3604979999</v>
      </c>
      <c r="E68" s="53">
        <v>1871640.869857</v>
      </c>
      <c r="F68" s="53">
        <v>1867729.7748149999</v>
      </c>
      <c r="G68" s="53">
        <v>1868972.5783569999</v>
      </c>
      <c r="H68" s="53">
        <v>1864127.767179</v>
      </c>
      <c r="I68" s="53">
        <v>1860784.3065869999</v>
      </c>
      <c r="J68" s="53">
        <v>1941359.4392860001</v>
      </c>
      <c r="K68" s="53">
        <v>1951906.6430269999</v>
      </c>
      <c r="L68" s="53">
        <v>1938999.4836019999</v>
      </c>
      <c r="M68" s="53">
        <v>1935724.4387300001</v>
      </c>
      <c r="N68" s="53">
        <v>2140032.7336920002</v>
      </c>
      <c r="O68" s="53">
        <v>2164975.7819650001</v>
      </c>
      <c r="P68" s="53">
        <v>2201400.9402910001</v>
      </c>
      <c r="Q68" s="53">
        <v>2228344.788431</v>
      </c>
      <c r="R68" s="53">
        <v>2191625.7770179999</v>
      </c>
      <c r="U68" s="53">
        <f t="shared" si="3"/>
        <v>1867729.7748149999</v>
      </c>
      <c r="V68" s="53">
        <f t="shared" si="4"/>
        <v>1941359.4392860001</v>
      </c>
      <c r="W68" s="53">
        <f t="shared" si="5"/>
        <v>2140032.7336920002</v>
      </c>
      <c r="X68" s="53">
        <f t="shared" si="6"/>
        <v>2191625.7770179999</v>
      </c>
    </row>
    <row r="69" spans="2:24" ht="14.1" customHeight="1">
      <c r="B69" s="56" t="s">
        <v>54</v>
      </c>
      <c r="C69" s="54">
        <v>5719001.820944</v>
      </c>
      <c r="D69" s="54">
        <v>5746585.1115150005</v>
      </c>
      <c r="E69" s="54">
        <v>5732630.0398789998</v>
      </c>
      <c r="F69" s="54">
        <v>5734753</v>
      </c>
      <c r="G69" s="54">
        <v>5730785.46679</v>
      </c>
      <c r="H69" s="54">
        <v>5734559.8172030002</v>
      </c>
      <c r="I69" s="54">
        <v>5642640.3616020009</v>
      </c>
      <c r="J69" s="54">
        <v>5784471.7120379992</v>
      </c>
      <c r="K69" s="54">
        <v>5793234.7331809998</v>
      </c>
      <c r="L69" s="54">
        <v>5801472.8123070002</v>
      </c>
      <c r="M69" s="54">
        <v>5847935.4169680001</v>
      </c>
      <c r="N69" s="54">
        <v>6106367</v>
      </c>
      <c r="O69" s="54">
        <v>6138994.7051480003</v>
      </c>
      <c r="P69" s="54">
        <v>6218807.3322160002</v>
      </c>
      <c r="Q69" s="54">
        <v>6257366.0297379997</v>
      </c>
      <c r="R69" s="54">
        <v>8291706.7704503778</v>
      </c>
      <c r="U69" s="54">
        <f t="shared" si="3"/>
        <v>5734753</v>
      </c>
      <c r="V69" s="54">
        <f t="shared" si="4"/>
        <v>5784471.7120379992</v>
      </c>
      <c r="W69" s="54">
        <f t="shared" si="5"/>
        <v>6106367</v>
      </c>
      <c r="X69" s="54">
        <f t="shared" si="6"/>
        <v>8291706.7704503778</v>
      </c>
    </row>
    <row r="70" spans="2:24" ht="14.1" customHeight="1">
      <c r="B70" s="57"/>
      <c r="C70" s="27"/>
      <c r="D70" s="27"/>
      <c r="E70" s="27"/>
      <c r="F70" s="27"/>
      <c r="G70" s="27"/>
      <c r="H70" s="27"/>
      <c r="I70" s="27"/>
      <c r="J70" s="27"/>
      <c r="K70" s="27"/>
      <c r="L70" s="27"/>
      <c r="M70" s="27"/>
      <c r="N70" s="27"/>
      <c r="O70" s="27"/>
      <c r="P70" s="27"/>
      <c r="Q70" s="27"/>
      <c r="R70" s="27"/>
      <c r="U70" s="27"/>
      <c r="V70" s="27"/>
      <c r="W70" s="27"/>
      <c r="X70" s="27"/>
    </row>
    <row r="71" spans="2:24" ht="14.1" customHeight="1">
      <c r="B71" s="56" t="s">
        <v>55</v>
      </c>
      <c r="C71" s="54">
        <v>6883976.4620230002</v>
      </c>
      <c r="D71" s="54">
        <v>6851834.9533880008</v>
      </c>
      <c r="E71" s="54">
        <v>6863519.0264689997</v>
      </c>
      <c r="F71" s="54">
        <v>6796027.2607010007</v>
      </c>
      <c r="G71" s="54">
        <v>6891394.247858</v>
      </c>
      <c r="H71" s="54">
        <v>6849050.0227950001</v>
      </c>
      <c r="I71" s="54">
        <v>6807859.2869690005</v>
      </c>
      <c r="J71" s="54">
        <v>6840007.9115529992</v>
      </c>
      <c r="K71" s="54">
        <v>6971387.2496079998</v>
      </c>
      <c r="L71" s="54">
        <v>6963419.8264049999</v>
      </c>
      <c r="M71" s="54">
        <v>7081426.9282149998</v>
      </c>
      <c r="N71" s="54">
        <v>7326545.2355950009</v>
      </c>
      <c r="O71" s="54">
        <v>7461263.5544969998</v>
      </c>
      <c r="P71" s="54">
        <v>7673780.5663879998</v>
      </c>
      <c r="Q71" s="54">
        <v>7723535.6291649994</v>
      </c>
      <c r="R71" s="54">
        <v>9443349.774932377</v>
      </c>
      <c r="U71" s="54">
        <f t="shared" si="3"/>
        <v>6796027.2607010007</v>
      </c>
      <c r="V71" s="54">
        <f t="shared" si="4"/>
        <v>6840007.9115529992</v>
      </c>
      <c r="W71" s="54">
        <f t="shared" si="5"/>
        <v>7326545.2355950009</v>
      </c>
      <c r="X71" s="54">
        <f t="shared" si="6"/>
        <v>9443349.774932377</v>
      </c>
    </row>
    <row r="72" spans="2:24" ht="14.1" customHeight="1">
      <c r="B72" s="57"/>
      <c r="C72" s="51"/>
      <c r="D72" s="51"/>
      <c r="E72" s="51"/>
      <c r="F72" s="51"/>
      <c r="G72" s="51"/>
      <c r="H72" s="51"/>
      <c r="I72" s="51"/>
      <c r="J72" s="51"/>
      <c r="K72" s="51"/>
      <c r="L72" s="51"/>
      <c r="M72" s="51"/>
      <c r="N72" s="51"/>
      <c r="O72" s="51"/>
      <c r="P72" s="51"/>
      <c r="Q72" s="51"/>
      <c r="R72" s="51"/>
      <c r="U72" s="51"/>
      <c r="V72" s="51"/>
      <c r="W72" s="51"/>
      <c r="X72" s="51"/>
    </row>
    <row r="73" spans="2:24" ht="14.1" customHeight="1">
      <c r="B73" s="52" t="s">
        <v>56</v>
      </c>
      <c r="C73" s="53">
        <v>83275.681924090095</v>
      </c>
      <c r="D73" s="53">
        <v>34878.073851519919</v>
      </c>
      <c r="E73" s="53">
        <v>46153.468874470142</v>
      </c>
      <c r="F73" s="53">
        <v>98713.558022000012</v>
      </c>
      <c r="G73" s="53">
        <v>120571.76365339989</v>
      </c>
      <c r="H73" s="53">
        <v>91712.325454999926</v>
      </c>
      <c r="I73" s="53">
        <v>69801.469918560004</v>
      </c>
      <c r="J73" s="53">
        <v>130876.6956565592</v>
      </c>
      <c r="K73" s="53">
        <v>152456.63677948783</v>
      </c>
      <c r="L73" s="53">
        <v>116519.8381731601</v>
      </c>
      <c r="M73" s="53">
        <v>132276.7617472359</v>
      </c>
      <c r="N73" s="53">
        <v>33844.975868337671</v>
      </c>
      <c r="O73" s="53">
        <v>37642.326227110287</v>
      </c>
      <c r="P73" s="53">
        <v>32998.105089356482</v>
      </c>
      <c r="Q73" s="53">
        <v>38352.125733828812</v>
      </c>
      <c r="R73" s="53">
        <v>1031325.0307532637</v>
      </c>
      <c r="U73" s="53">
        <f t="shared" si="3"/>
        <v>98713.558022000012</v>
      </c>
      <c r="V73" s="53">
        <f t="shared" si="4"/>
        <v>130876.6956565592</v>
      </c>
      <c r="W73" s="53">
        <f t="shared" si="5"/>
        <v>33844.975868337671</v>
      </c>
      <c r="X73" s="53">
        <f t="shared" si="6"/>
        <v>1031325.0307532637</v>
      </c>
    </row>
    <row r="74" spans="2:24" ht="14.1" customHeight="1">
      <c r="B74" s="52" t="s">
        <v>57</v>
      </c>
      <c r="C74" s="53">
        <v>9708.5417840000009</v>
      </c>
      <c r="D74" s="53">
        <v>9872.2589869999792</v>
      </c>
      <c r="E74" s="53">
        <v>10059.976189999958</v>
      </c>
      <c r="F74" s="53">
        <v>10637.704667999991</v>
      </c>
      <c r="G74" s="53">
        <v>10338.051013999968</v>
      </c>
      <c r="H74" s="53">
        <v>10211.012769000023</v>
      </c>
      <c r="I74" s="53">
        <v>10024.962489999947</v>
      </c>
      <c r="J74" s="53">
        <v>9890.7457629999844</v>
      </c>
      <c r="K74" s="53">
        <v>8887.8365009999834</v>
      </c>
      <c r="L74" s="53">
        <v>8410.8891229999717</v>
      </c>
      <c r="M74" s="53">
        <v>8822.8255039999494</v>
      </c>
      <c r="N74" s="53">
        <v>11607.057270999998</v>
      </c>
      <c r="O74" s="53">
        <v>11132.689778</v>
      </c>
      <c r="P74" s="53">
        <v>12186.122013</v>
      </c>
      <c r="Q74" s="53">
        <v>12858.174535</v>
      </c>
      <c r="R74" s="53">
        <v>43125.562275999997</v>
      </c>
      <c r="U74" s="53">
        <f t="shared" si="3"/>
        <v>10637.704667999991</v>
      </c>
      <c r="V74" s="53">
        <f t="shared" si="4"/>
        <v>9890.7457629999844</v>
      </c>
      <c r="W74" s="53">
        <f t="shared" si="5"/>
        <v>11607.057270999998</v>
      </c>
      <c r="X74" s="53">
        <f t="shared" si="6"/>
        <v>43125.562275999997</v>
      </c>
    </row>
    <row r="75" spans="2:24" ht="14.1" customHeight="1">
      <c r="B75" s="52" t="s">
        <v>58</v>
      </c>
      <c r="C75" s="53">
        <v>510009.55836599995</v>
      </c>
      <c r="D75" s="53">
        <v>372073.08635100001</v>
      </c>
      <c r="E75" s="53">
        <v>348399.80574400007</v>
      </c>
      <c r="F75" s="53">
        <v>339479.67700299993</v>
      </c>
      <c r="G75" s="53">
        <v>460717.1896959999</v>
      </c>
      <c r="H75" s="53">
        <v>392689.08832100005</v>
      </c>
      <c r="I75" s="53">
        <v>195241.06556499997</v>
      </c>
      <c r="J75" s="53">
        <v>193550.07486699999</v>
      </c>
      <c r="K75" s="53">
        <v>313738.63065300003</v>
      </c>
      <c r="L75" s="53">
        <v>231070.79552000001</v>
      </c>
      <c r="M75" s="53">
        <v>174348.06017300001</v>
      </c>
      <c r="N75" s="53">
        <v>205776.00633399998</v>
      </c>
      <c r="O75" s="53">
        <v>341840.51087599999</v>
      </c>
      <c r="P75" s="53">
        <v>303270.36643400003</v>
      </c>
      <c r="Q75" s="53">
        <v>289385.73718699999</v>
      </c>
      <c r="R75" s="53">
        <v>418307.49900499999</v>
      </c>
      <c r="U75" s="53">
        <v>338862</v>
      </c>
      <c r="V75" s="53">
        <f t="shared" si="4"/>
        <v>193550.07486699999</v>
      </c>
      <c r="W75" s="53">
        <f t="shared" si="5"/>
        <v>205776.00633399998</v>
      </c>
      <c r="X75" s="53">
        <f t="shared" si="6"/>
        <v>418307.49900499999</v>
      </c>
    </row>
    <row r="76" spans="2:24" ht="14.1" customHeight="1">
      <c r="B76" s="52" t="s">
        <v>59</v>
      </c>
      <c r="C76" s="53">
        <v>84276.857802000013</v>
      </c>
      <c r="D76" s="53">
        <v>46694.185918000003</v>
      </c>
      <c r="E76" s="53">
        <v>26332.270124000002</v>
      </c>
      <c r="F76" s="53">
        <v>74054.059204000005</v>
      </c>
      <c r="G76" s="53">
        <v>93050.445632999996</v>
      </c>
      <c r="H76" s="53">
        <v>37658.199092999996</v>
      </c>
      <c r="I76" s="53">
        <v>22142.500418</v>
      </c>
      <c r="J76" s="53">
        <v>51931.103101000001</v>
      </c>
      <c r="K76" s="53">
        <v>60946.762056</v>
      </c>
      <c r="L76" s="53">
        <v>33796.096185000002</v>
      </c>
      <c r="M76" s="53">
        <v>18264.235239000001</v>
      </c>
      <c r="N76" s="53">
        <v>93269.509511000011</v>
      </c>
      <c r="O76" s="53">
        <v>106588.24945600001</v>
      </c>
      <c r="P76" s="53">
        <v>28091.449270000001</v>
      </c>
      <c r="Q76" s="53">
        <v>3792.9467650000001</v>
      </c>
      <c r="R76" s="53">
        <v>94198.038907000009</v>
      </c>
      <c r="U76" s="53">
        <v>74672</v>
      </c>
      <c r="V76" s="53">
        <f t="shared" si="4"/>
        <v>51931.103101000001</v>
      </c>
      <c r="W76" s="53">
        <f t="shared" si="5"/>
        <v>93269.509511000011</v>
      </c>
      <c r="X76" s="53">
        <f t="shared" si="6"/>
        <v>94198.038907000009</v>
      </c>
    </row>
    <row r="77" spans="2:24" ht="14.1" customHeight="1">
      <c r="B77" s="52" t="s">
        <v>60</v>
      </c>
      <c r="C77" s="53">
        <v>7182.3980310000006</v>
      </c>
      <c r="D77" s="53">
        <v>6864.9902279999997</v>
      </c>
      <c r="E77" s="53">
        <v>9674.4994559999996</v>
      </c>
      <c r="F77" s="53">
        <v>9176.6680309999992</v>
      </c>
      <c r="G77" s="53">
        <v>8391.4748820000004</v>
      </c>
      <c r="H77" s="53">
        <v>8076.6815139999999</v>
      </c>
      <c r="I77" s="53">
        <v>11270.018083000001</v>
      </c>
      <c r="J77" s="53">
        <v>11100.474307</v>
      </c>
      <c r="K77" s="53">
        <v>10900.967597999999</v>
      </c>
      <c r="L77" s="53">
        <v>10873.581045999999</v>
      </c>
      <c r="M77" s="53">
        <v>14152.67369</v>
      </c>
      <c r="N77" s="53">
        <v>13655.996093</v>
      </c>
      <c r="O77" s="53">
        <v>11080.029071000001</v>
      </c>
      <c r="P77" s="53">
        <v>11505.406709999999</v>
      </c>
      <c r="Q77" s="53">
        <v>17170.95347</v>
      </c>
      <c r="R77" s="53">
        <v>19952.226844000001</v>
      </c>
      <c r="U77" s="53">
        <f t="shared" si="3"/>
        <v>9176.6680309999992</v>
      </c>
      <c r="V77" s="53">
        <f t="shared" si="4"/>
        <v>11100.474307</v>
      </c>
      <c r="W77" s="53">
        <f t="shared" si="5"/>
        <v>13655.996093</v>
      </c>
      <c r="X77" s="53">
        <f t="shared" si="6"/>
        <v>19952.226844000001</v>
      </c>
    </row>
    <row r="78" spans="2:24" ht="14.1" customHeight="1">
      <c r="B78" s="52" t="s">
        <v>61</v>
      </c>
      <c r="C78" s="53">
        <v>108239.47884100002</v>
      </c>
      <c r="D78" s="53">
        <v>148368.37655799999</v>
      </c>
      <c r="E78" s="53">
        <v>186119.32548800003</v>
      </c>
      <c r="F78" s="53">
        <v>90068.300204000014</v>
      </c>
      <c r="G78" s="53">
        <v>138644.023827</v>
      </c>
      <c r="H78" s="53">
        <v>169873.15529100003</v>
      </c>
      <c r="I78" s="53">
        <v>327965.58322599996</v>
      </c>
      <c r="J78" s="53">
        <v>36197.705575999949</v>
      </c>
      <c r="K78" s="53">
        <v>87082.252384000021</v>
      </c>
      <c r="L78" s="53">
        <v>139672.247011</v>
      </c>
      <c r="M78" s="53">
        <v>179689.42308000004</v>
      </c>
      <c r="N78" s="53">
        <v>35329.207888000019</v>
      </c>
      <c r="O78" s="53">
        <v>81858.119027000008</v>
      </c>
      <c r="P78" s="53">
        <v>176568.57345699996</v>
      </c>
      <c r="Q78" s="53">
        <v>211854.234517</v>
      </c>
      <c r="R78" s="53">
        <v>44049.000710000037</v>
      </c>
      <c r="U78" s="53">
        <f t="shared" si="3"/>
        <v>90068.300204000014</v>
      </c>
      <c r="V78" s="53">
        <f t="shared" si="4"/>
        <v>36197.705575999949</v>
      </c>
      <c r="W78" s="53">
        <f t="shared" si="5"/>
        <v>35329.207888000019</v>
      </c>
      <c r="X78" s="53">
        <f t="shared" si="6"/>
        <v>44049.000710000037</v>
      </c>
    </row>
    <row r="79" spans="2:24" ht="14.1" customHeight="1">
      <c r="B79" s="52" t="s">
        <v>62</v>
      </c>
      <c r="C79" s="53">
        <v>0</v>
      </c>
      <c r="D79" s="53">
        <v>0</v>
      </c>
      <c r="E79" s="53">
        <v>0</v>
      </c>
      <c r="F79" s="53">
        <v>686</v>
      </c>
      <c r="G79" s="53" t="s">
        <v>44</v>
      </c>
      <c r="H79" s="53" t="s">
        <v>44</v>
      </c>
      <c r="I79" s="53" t="s">
        <v>44</v>
      </c>
      <c r="J79" s="53" t="s">
        <v>44</v>
      </c>
      <c r="K79" s="53" t="s">
        <v>44</v>
      </c>
      <c r="L79" s="53" t="s">
        <v>44</v>
      </c>
      <c r="M79" s="53" t="s">
        <v>44</v>
      </c>
      <c r="N79" s="53" t="s">
        <v>44</v>
      </c>
      <c r="O79" s="53" t="s">
        <v>44</v>
      </c>
      <c r="P79" s="53"/>
      <c r="Q79" s="53"/>
      <c r="R79" s="53"/>
      <c r="U79" s="53">
        <f t="shared" si="3"/>
        <v>686</v>
      </c>
      <c r="V79" s="53" t="str">
        <f t="shared" si="4"/>
        <v/>
      </c>
      <c r="W79" s="53" t="str">
        <f t="shared" si="5"/>
        <v/>
      </c>
      <c r="X79" s="53"/>
    </row>
    <row r="80" spans="2:24" ht="14.1" customHeight="1">
      <c r="B80" s="52" t="s">
        <v>63</v>
      </c>
      <c r="C80" s="53">
        <v>11240.350095</v>
      </c>
      <c r="D80" s="53">
        <v>11672.79254</v>
      </c>
      <c r="E80" s="53">
        <v>10910.699381</v>
      </c>
      <c r="F80" s="53">
        <v>9606.7356970000001</v>
      </c>
      <c r="G80" s="53">
        <v>9853.5655580000002</v>
      </c>
      <c r="H80" s="53">
        <v>9630.5009129999999</v>
      </c>
      <c r="I80" s="53">
        <v>8853.2801560000007</v>
      </c>
      <c r="J80" s="53">
        <v>9183.9566410000007</v>
      </c>
      <c r="K80" s="53">
        <v>8605.8699340000003</v>
      </c>
      <c r="L80" s="53">
        <v>9519.4979949999997</v>
      </c>
      <c r="M80" s="53">
        <v>10686.468242000001</v>
      </c>
      <c r="N80" s="53">
        <v>13711.449045000001</v>
      </c>
      <c r="O80" s="53">
        <v>12821.450735</v>
      </c>
      <c r="P80" s="53">
        <v>12566.922584</v>
      </c>
      <c r="Q80" s="53">
        <v>20665.046812000001</v>
      </c>
      <c r="R80" s="53">
        <v>19512.024045999999</v>
      </c>
      <c r="U80" s="53">
        <f t="shared" si="3"/>
        <v>9606.7356970000001</v>
      </c>
      <c r="V80" s="53">
        <f t="shared" si="4"/>
        <v>9183.9566410000007</v>
      </c>
      <c r="W80" s="53">
        <f t="shared" si="5"/>
        <v>13711.449045000001</v>
      </c>
      <c r="X80" s="53">
        <f t="shared" si="6"/>
        <v>19512.024045999999</v>
      </c>
    </row>
    <row r="81" spans="2:24" ht="14.1" customHeight="1">
      <c r="B81" s="56" t="s">
        <v>64</v>
      </c>
      <c r="C81" s="54">
        <v>813932.86684309016</v>
      </c>
      <c r="D81" s="54">
        <v>630423.76443351991</v>
      </c>
      <c r="E81" s="54">
        <v>637650.04525747022</v>
      </c>
      <c r="F81" s="54">
        <v>632422.70282899996</v>
      </c>
      <c r="G81" s="54">
        <v>841566.51426339964</v>
      </c>
      <c r="H81" s="54">
        <v>719850.96335600002</v>
      </c>
      <c r="I81" s="54">
        <v>645298.87985655991</v>
      </c>
      <c r="J81" s="54">
        <v>442730.7559115591</v>
      </c>
      <c r="K81" s="54">
        <v>642618.95590548776</v>
      </c>
      <c r="L81" s="54">
        <v>549862.94505316007</v>
      </c>
      <c r="M81" s="54">
        <v>538240.44767523592</v>
      </c>
      <c r="N81" s="54">
        <v>407194.20201033767</v>
      </c>
      <c r="O81" s="54">
        <v>602963.37517011026</v>
      </c>
      <c r="P81" s="54">
        <v>577186.94555735658</v>
      </c>
      <c r="Q81" s="54">
        <v>594079.21901982883</v>
      </c>
      <c r="R81" s="54">
        <v>1670469.3825412637</v>
      </c>
      <c r="U81" s="54">
        <f t="shared" si="3"/>
        <v>632422.70282899996</v>
      </c>
      <c r="V81" s="54">
        <f t="shared" si="4"/>
        <v>442730.7559115591</v>
      </c>
      <c r="W81" s="54">
        <f t="shared" si="5"/>
        <v>407194.20201033767</v>
      </c>
      <c r="X81" s="54">
        <f t="shared" si="6"/>
        <v>1670469.3825412637</v>
      </c>
    </row>
    <row r="82" spans="2:24" ht="14.1" customHeight="1">
      <c r="B82" s="50"/>
      <c r="C82" s="27"/>
      <c r="D82" s="27"/>
      <c r="E82" s="27"/>
      <c r="F82" s="27"/>
      <c r="G82" s="27"/>
      <c r="H82" s="27"/>
      <c r="I82" s="27"/>
      <c r="J82" s="27"/>
      <c r="K82" s="27"/>
      <c r="L82" s="27"/>
      <c r="M82" s="27"/>
      <c r="N82" s="27"/>
      <c r="O82" s="27"/>
      <c r="P82" s="27"/>
      <c r="Q82" s="27"/>
      <c r="R82" s="27"/>
      <c r="U82" s="27"/>
      <c r="V82" s="27"/>
      <c r="W82" s="27"/>
      <c r="X82" s="27"/>
    </row>
    <row r="83" spans="2:24" ht="14.1" customHeight="1">
      <c r="B83" s="52" t="s">
        <v>65</v>
      </c>
      <c r="C83" s="53">
        <v>1218469.03948491</v>
      </c>
      <c r="D83" s="53">
        <v>1200528.7522384801</v>
      </c>
      <c r="E83" s="53">
        <v>1227418.4084325298</v>
      </c>
      <c r="F83" s="53">
        <v>1154459.2888779999</v>
      </c>
      <c r="G83" s="53">
        <v>1129627.4451536001</v>
      </c>
      <c r="H83" s="53">
        <v>1128395.9418500001</v>
      </c>
      <c r="I83" s="53">
        <v>1088679.70082644</v>
      </c>
      <c r="J83" s="53">
        <v>975575.97055244073</v>
      </c>
      <c r="K83" s="53">
        <v>995396.2118055122</v>
      </c>
      <c r="L83" s="53">
        <v>1023689.17394384</v>
      </c>
      <c r="M83" s="53">
        <v>1047906.9752537641</v>
      </c>
      <c r="N83" s="53">
        <v>340707.40379266231</v>
      </c>
      <c r="O83" s="53">
        <v>355943.9919358897</v>
      </c>
      <c r="P83" s="53">
        <v>355989.62805564352</v>
      </c>
      <c r="Q83" s="53">
        <v>337178.97661417117</v>
      </c>
      <c r="R83" s="53">
        <v>1075859.4653187362</v>
      </c>
      <c r="U83" s="53">
        <f t="shared" si="3"/>
        <v>1154459.2888779999</v>
      </c>
      <c r="V83" s="53">
        <f t="shared" si="4"/>
        <v>975575.97055244073</v>
      </c>
      <c r="W83" s="53">
        <f t="shared" si="5"/>
        <v>340707.40379266231</v>
      </c>
      <c r="X83" s="53">
        <f t="shared" si="6"/>
        <v>1075859.4653187362</v>
      </c>
    </row>
    <row r="84" spans="2:24" ht="14.1" customHeight="1">
      <c r="B84" s="52" t="s">
        <v>66</v>
      </c>
      <c r="C84" s="53">
        <v>600000</v>
      </c>
      <c r="D84" s="53">
        <v>600000</v>
      </c>
      <c r="E84" s="53">
        <v>600000</v>
      </c>
      <c r="F84" s="53">
        <v>600000</v>
      </c>
      <c r="G84" s="53">
        <v>600000</v>
      </c>
      <c r="H84" s="53">
        <v>600000</v>
      </c>
      <c r="I84" s="53">
        <v>600000</v>
      </c>
      <c r="J84" s="53">
        <v>600000</v>
      </c>
      <c r="K84" s="53">
        <v>600000</v>
      </c>
      <c r="L84" s="53">
        <v>600000</v>
      </c>
      <c r="M84" s="53">
        <v>600000</v>
      </c>
      <c r="N84" s="53">
        <v>1400000</v>
      </c>
      <c r="O84" s="53">
        <v>1400000</v>
      </c>
      <c r="P84" s="53">
        <v>1400000</v>
      </c>
      <c r="Q84" s="53">
        <v>1400000</v>
      </c>
      <c r="R84" s="53">
        <v>1587483.809655</v>
      </c>
      <c r="U84" s="53">
        <f t="shared" si="3"/>
        <v>600000</v>
      </c>
      <c r="V84" s="53">
        <f t="shared" si="4"/>
        <v>600000</v>
      </c>
      <c r="W84" s="53">
        <f t="shared" si="5"/>
        <v>1400000</v>
      </c>
      <c r="X84" s="53">
        <f t="shared" si="6"/>
        <v>1587483.809655</v>
      </c>
    </row>
    <row r="85" spans="2:24" ht="14.1" customHeight="1">
      <c r="B85" s="52" t="s">
        <v>67</v>
      </c>
      <c r="C85" s="53">
        <v>18838</v>
      </c>
      <c r="D85" s="53">
        <v>18838</v>
      </c>
      <c r="E85" s="53">
        <v>18864.749919999998</v>
      </c>
      <c r="F85" s="53">
        <v>27694</v>
      </c>
      <c r="G85" s="53">
        <v>15117</v>
      </c>
      <c r="H85" s="53">
        <v>15117</v>
      </c>
      <c r="I85" s="53">
        <v>7558.3770000000004</v>
      </c>
      <c r="J85" s="53">
        <v>13846.627</v>
      </c>
      <c r="K85" s="53">
        <v>13846.627</v>
      </c>
      <c r="L85" s="53">
        <v>6923.3135000000002</v>
      </c>
      <c r="M85" s="53" t="s">
        <v>44</v>
      </c>
      <c r="N85" s="53" t="s">
        <v>44</v>
      </c>
      <c r="O85" s="53" t="s">
        <v>44</v>
      </c>
      <c r="P85" s="53"/>
      <c r="Q85" s="53"/>
      <c r="R85" s="53"/>
      <c r="U85" s="53">
        <f t="shared" si="3"/>
        <v>27694</v>
      </c>
      <c r="V85" s="53">
        <f t="shared" si="4"/>
        <v>13846.627</v>
      </c>
      <c r="W85" s="53" t="str">
        <f t="shared" si="5"/>
        <v/>
      </c>
      <c r="X85" s="53"/>
    </row>
    <row r="86" spans="2:24" ht="14.1" customHeight="1">
      <c r="B86" s="52" t="s">
        <v>68</v>
      </c>
      <c r="C86" s="53">
        <v>165383.31018999999</v>
      </c>
      <c r="D86" s="53">
        <v>164177.06018999999</v>
      </c>
      <c r="E86" s="53">
        <v>164177.06018999999</v>
      </c>
      <c r="F86" s="53">
        <v>164177.06018999999</v>
      </c>
      <c r="G86" s="53">
        <v>163955.60944</v>
      </c>
      <c r="H86" s="53">
        <v>163955.60944</v>
      </c>
      <c r="I86" s="53">
        <v>163955.60944</v>
      </c>
      <c r="J86" s="53">
        <v>314216.992685</v>
      </c>
      <c r="K86" s="53">
        <v>314216.992685</v>
      </c>
      <c r="L86" s="53">
        <v>265729.47218899999</v>
      </c>
      <c r="M86" s="53">
        <v>265953.242226</v>
      </c>
      <c r="N86" s="53">
        <v>151258.08622299999</v>
      </c>
      <c r="O86" s="53">
        <v>152959.46722699999</v>
      </c>
      <c r="P86" s="53">
        <v>154951.03588000001</v>
      </c>
      <c r="Q86" s="53">
        <v>155624.488304</v>
      </c>
      <c r="R86" s="53">
        <v>156501.737295</v>
      </c>
      <c r="U86" s="53">
        <f t="shared" si="3"/>
        <v>164177.06018999999</v>
      </c>
      <c r="V86" s="53">
        <f t="shared" si="4"/>
        <v>314216.992685</v>
      </c>
      <c r="W86" s="53">
        <f t="shared" si="5"/>
        <v>151258.08622299999</v>
      </c>
      <c r="X86" s="53">
        <f t="shared" si="6"/>
        <v>156501.737295</v>
      </c>
    </row>
    <row r="87" spans="2:24" ht="14.1" customHeight="1">
      <c r="B87" s="52" t="s">
        <v>69</v>
      </c>
      <c r="C87" s="53">
        <v>74614.223211000004</v>
      </c>
      <c r="D87" s="53">
        <v>74868.594446999996</v>
      </c>
      <c r="E87" s="53">
        <v>75122.965683000002</v>
      </c>
      <c r="F87" s="53">
        <v>75994</v>
      </c>
      <c r="G87" s="53">
        <v>77627.787437999999</v>
      </c>
      <c r="H87" s="53">
        <v>78396.053755999994</v>
      </c>
      <c r="I87" s="53">
        <v>78805.900208000006</v>
      </c>
      <c r="J87" s="53">
        <v>80150.100424000004</v>
      </c>
      <c r="K87" s="53">
        <v>81069.821182999993</v>
      </c>
      <c r="L87" s="53">
        <v>81926.898942999993</v>
      </c>
      <c r="M87" s="53">
        <v>82846.819701999993</v>
      </c>
      <c r="N87" s="53">
        <v>80863.703802000004</v>
      </c>
      <c r="O87" s="53">
        <v>81084.200180999993</v>
      </c>
      <c r="P87" s="53">
        <v>81304.696559999997</v>
      </c>
      <c r="Q87" s="53">
        <v>81525.192937999993</v>
      </c>
      <c r="R87" s="53">
        <v>81584.612324999995</v>
      </c>
      <c r="U87" s="53">
        <f t="shared" si="3"/>
        <v>75994</v>
      </c>
      <c r="V87" s="53">
        <f t="shared" si="4"/>
        <v>80150.100424000004</v>
      </c>
      <c r="W87" s="53">
        <f t="shared" si="5"/>
        <v>80863.703802000004</v>
      </c>
      <c r="X87" s="53">
        <f t="shared" si="6"/>
        <v>81584.612324999995</v>
      </c>
    </row>
    <row r="88" spans="2:24" ht="14.1" customHeight="1">
      <c r="B88" s="52" t="s">
        <v>70</v>
      </c>
      <c r="C88" s="53">
        <v>42832.281948000076</v>
      </c>
      <c r="D88" s="53">
        <v>41710.149502000124</v>
      </c>
      <c r="E88" s="53">
        <v>41555.777473000009</v>
      </c>
      <c r="F88" s="53">
        <v>40992.54047800001</v>
      </c>
      <c r="G88" s="53">
        <v>40838.16844899999</v>
      </c>
      <c r="H88" s="53">
        <v>40683.796419999999</v>
      </c>
      <c r="I88" s="53">
        <v>40529.424390999884</v>
      </c>
      <c r="J88" s="53">
        <v>40075.408339000118</v>
      </c>
      <c r="K88" s="53">
        <v>40837.989396000048</v>
      </c>
      <c r="L88" s="53">
        <v>42059.346996000037</v>
      </c>
      <c r="M88" s="53">
        <v>43280.704596000025</v>
      </c>
      <c r="N88" s="53">
        <v>36040.324952000286</v>
      </c>
      <c r="O88" s="53">
        <v>35885.952923000092</v>
      </c>
      <c r="P88" s="53">
        <v>35731.58089400013</v>
      </c>
      <c r="Q88" s="53">
        <v>35577.208865000168</v>
      </c>
      <c r="R88" s="53">
        <v>34553.071325999917</v>
      </c>
      <c r="U88" s="53">
        <f t="shared" si="3"/>
        <v>40992.54047800001</v>
      </c>
      <c r="V88" s="53">
        <f t="shared" si="4"/>
        <v>40075.408339000118</v>
      </c>
      <c r="W88" s="53">
        <f t="shared" si="5"/>
        <v>36040.324952000286</v>
      </c>
      <c r="X88" s="53">
        <f t="shared" si="6"/>
        <v>34553.071325999917</v>
      </c>
    </row>
    <row r="89" spans="2:24" ht="14.1" customHeight="1">
      <c r="B89" s="56" t="s">
        <v>71</v>
      </c>
      <c r="C89" s="54">
        <v>2120136.8548339098</v>
      </c>
      <c r="D89" s="54">
        <v>2100122.5563774803</v>
      </c>
      <c r="E89" s="54">
        <v>2127138.9616985298</v>
      </c>
      <c r="F89" s="54">
        <v>2063317</v>
      </c>
      <c r="G89" s="54">
        <v>2027166.0104806002</v>
      </c>
      <c r="H89" s="54">
        <v>2026548.4014660001</v>
      </c>
      <c r="I89" s="54">
        <v>1979529.0118654401</v>
      </c>
      <c r="J89" s="54">
        <v>2023865.0990004409</v>
      </c>
      <c r="K89" s="54">
        <v>2045367.6420695123</v>
      </c>
      <c r="L89" s="54">
        <v>2020328.2055718401</v>
      </c>
      <c r="M89" s="54">
        <v>2039987.7417777639</v>
      </c>
      <c r="N89" s="54">
        <v>2008869.5187696626</v>
      </c>
      <c r="O89" s="54">
        <v>2025873.6122668898</v>
      </c>
      <c r="P89" s="54">
        <v>2027976.9413896438</v>
      </c>
      <c r="Q89" s="54">
        <v>2009905.8667211712</v>
      </c>
      <c r="R89" s="54">
        <v>2935982.6959197363</v>
      </c>
      <c r="U89" s="54">
        <f t="shared" si="3"/>
        <v>2063317</v>
      </c>
      <c r="V89" s="54">
        <f t="shared" si="4"/>
        <v>2023865.0990004409</v>
      </c>
      <c r="W89" s="54">
        <f t="shared" si="5"/>
        <v>2008869.5187696626</v>
      </c>
      <c r="X89" s="54">
        <f t="shared" si="6"/>
        <v>2935982.6959197363</v>
      </c>
    </row>
    <row r="90" spans="2:24" ht="14.1" customHeight="1">
      <c r="B90" s="27"/>
      <c r="C90" s="49"/>
      <c r="D90" s="49"/>
      <c r="E90" s="49"/>
      <c r="F90" s="49"/>
      <c r="G90" s="49"/>
      <c r="H90" s="49"/>
      <c r="I90" s="49"/>
      <c r="J90" s="49"/>
      <c r="K90" s="49"/>
      <c r="L90" s="49"/>
      <c r="M90" s="49"/>
      <c r="N90" s="49"/>
      <c r="O90" s="49"/>
      <c r="P90" s="49"/>
      <c r="Q90" s="49"/>
      <c r="R90" s="49"/>
      <c r="U90" s="49"/>
      <c r="V90" s="49"/>
      <c r="W90" s="49"/>
      <c r="X90" s="49"/>
    </row>
    <row r="91" spans="2:24" ht="14.1" customHeight="1">
      <c r="B91" s="56" t="s">
        <v>72</v>
      </c>
      <c r="C91" s="54">
        <v>2934069.7216769997</v>
      </c>
      <c r="D91" s="54">
        <v>2730546.3208110002</v>
      </c>
      <c r="E91" s="54">
        <v>2764789.0069559999</v>
      </c>
      <c r="F91" s="54">
        <v>2695739.7035619998</v>
      </c>
      <c r="G91" s="54">
        <v>2868732.5247439998</v>
      </c>
      <c r="H91" s="54">
        <v>2746399.3648220003</v>
      </c>
      <c r="I91" s="54">
        <v>2624827.8917220002</v>
      </c>
      <c r="J91" s="54">
        <v>2466595.8549119998</v>
      </c>
      <c r="K91" s="54">
        <v>2687986.5979749998</v>
      </c>
      <c r="L91" s="54">
        <v>2570191.1506250002</v>
      </c>
      <c r="M91" s="54">
        <v>2578228.1894529997</v>
      </c>
      <c r="N91" s="54">
        <v>2416063.7207800001</v>
      </c>
      <c r="O91" s="54">
        <v>2628836.987437</v>
      </c>
      <c r="P91" s="54">
        <v>2605163.8869470004</v>
      </c>
      <c r="Q91" s="54">
        <v>2603985.0857410002</v>
      </c>
      <c r="R91" s="54">
        <v>4606452.0784609998</v>
      </c>
      <c r="U91" s="54">
        <f t="shared" si="3"/>
        <v>2695739.7035619998</v>
      </c>
      <c r="V91" s="54">
        <f t="shared" si="4"/>
        <v>2466595.8549119998</v>
      </c>
      <c r="W91" s="54">
        <f t="shared" si="5"/>
        <v>2416063.7207800001</v>
      </c>
      <c r="X91" s="54">
        <f t="shared" si="6"/>
        <v>4606452.0784609998</v>
      </c>
    </row>
    <row r="92" spans="2:24" ht="14.1" customHeight="1">
      <c r="B92" s="27"/>
      <c r="C92" s="27"/>
      <c r="D92" s="27"/>
      <c r="E92" s="27"/>
      <c r="F92" s="27"/>
      <c r="G92" s="27"/>
      <c r="H92" s="27"/>
      <c r="I92" s="27"/>
      <c r="J92" s="27"/>
      <c r="K92" s="27"/>
      <c r="L92" s="27"/>
      <c r="M92" s="27"/>
      <c r="N92" s="27"/>
      <c r="O92" s="27"/>
      <c r="P92" s="27"/>
      <c r="Q92" s="27"/>
      <c r="R92" s="27"/>
      <c r="U92" s="27"/>
      <c r="V92" s="27"/>
      <c r="W92" s="27"/>
      <c r="X92" s="27"/>
    </row>
    <row r="93" spans="2:24" ht="14.1" customHeight="1">
      <c r="B93" s="30" t="s">
        <v>73</v>
      </c>
      <c r="C93" s="58">
        <v>1370928.6366999999</v>
      </c>
      <c r="D93" s="58">
        <v>1435562.670524</v>
      </c>
      <c r="E93" s="58">
        <v>1447560.2989729999</v>
      </c>
      <c r="F93" s="58">
        <v>1449745.0547809999</v>
      </c>
      <c r="G93" s="58">
        <v>1358920.262685</v>
      </c>
      <c r="H93" s="58">
        <v>1388335.277737</v>
      </c>
      <c r="I93" s="58">
        <v>1414548.78758</v>
      </c>
      <c r="J93" s="58">
        <v>1468000.97422</v>
      </c>
      <c r="K93" s="58">
        <v>1391706.640262</v>
      </c>
      <c r="L93" s="58">
        <v>1431953.0707390001</v>
      </c>
      <c r="M93" s="58">
        <v>1467733.0726940001</v>
      </c>
      <c r="N93" s="58">
        <v>1622156.5074209999</v>
      </c>
      <c r="O93" s="58">
        <v>1550651.6988969999</v>
      </c>
      <c r="P93" s="58">
        <v>1621024.684293</v>
      </c>
      <c r="Q93" s="58">
        <v>1650077.4592629999</v>
      </c>
      <c r="R93" s="58">
        <v>1350523.984808</v>
      </c>
      <c r="U93" s="58">
        <f t="shared" si="3"/>
        <v>1449745.0547809999</v>
      </c>
      <c r="V93" s="58">
        <f t="shared" si="4"/>
        <v>1468000.97422</v>
      </c>
      <c r="W93" s="58">
        <f t="shared" si="5"/>
        <v>1622156.5074209999</v>
      </c>
      <c r="X93" s="58">
        <f t="shared" si="6"/>
        <v>1350523.984808</v>
      </c>
    </row>
    <row r="94" spans="2:24" ht="14.1" customHeight="1">
      <c r="B94" s="59" t="s">
        <v>74</v>
      </c>
      <c r="C94" s="58">
        <v>2578978.1036459999</v>
      </c>
      <c r="D94" s="58">
        <v>2685725.962053</v>
      </c>
      <c r="E94" s="58">
        <v>2651169.7205400001</v>
      </c>
      <c r="F94" s="58">
        <v>2650541.8023580001</v>
      </c>
      <c r="G94" s="58">
        <v>2663741.4604290002</v>
      </c>
      <c r="H94" s="58">
        <v>2714315.3802359998</v>
      </c>
      <c r="I94" s="58">
        <v>2768482.607667</v>
      </c>
      <c r="J94" s="58">
        <v>2905410.6824210002</v>
      </c>
      <c r="K94" s="58">
        <v>2891694.0113710002</v>
      </c>
      <c r="L94" s="58">
        <v>2961275.6050410001</v>
      </c>
      <c r="M94" s="58">
        <v>3035465.6660679998</v>
      </c>
      <c r="N94" s="58">
        <v>3288325.007394</v>
      </c>
      <c r="O94" s="58">
        <v>3281774.8681629999</v>
      </c>
      <c r="P94" s="58">
        <v>3447591.9951479998</v>
      </c>
      <c r="Q94" s="58">
        <v>3469473.0841600001</v>
      </c>
      <c r="R94" s="58">
        <v>3486373.7116629998</v>
      </c>
      <c r="U94" s="58">
        <f t="shared" si="3"/>
        <v>2650541.8023580001</v>
      </c>
      <c r="V94" s="58">
        <f t="shared" si="4"/>
        <v>2905410.6824210002</v>
      </c>
      <c r="W94" s="58">
        <f t="shared" si="5"/>
        <v>3288325.007394</v>
      </c>
      <c r="X94" s="58">
        <f t="shared" si="6"/>
        <v>3486373.7116629998</v>
      </c>
    </row>
    <row r="95" spans="2:24" ht="14.1" customHeight="1">
      <c r="B95" s="27"/>
      <c r="C95" s="27"/>
      <c r="D95" s="27"/>
      <c r="E95" s="27"/>
      <c r="F95" s="27"/>
      <c r="G95" s="27"/>
      <c r="H95" s="27"/>
      <c r="I95" s="27"/>
      <c r="J95" s="27"/>
      <c r="K95" s="27"/>
      <c r="L95" s="27"/>
      <c r="M95" s="27"/>
      <c r="N95" s="27"/>
      <c r="O95" s="27"/>
      <c r="P95" s="27"/>
      <c r="Q95" s="27"/>
      <c r="R95" s="27"/>
      <c r="U95" s="27"/>
      <c r="V95" s="27"/>
      <c r="W95" s="27"/>
      <c r="X95" s="27"/>
    </row>
    <row r="96" spans="2:24" ht="14.1" customHeight="1">
      <c r="B96" s="56" t="s">
        <v>75</v>
      </c>
      <c r="C96" s="54">
        <v>6883976.4620229993</v>
      </c>
      <c r="D96" s="54">
        <v>6851834.9533879999</v>
      </c>
      <c r="E96" s="54">
        <v>6863519.0264689997</v>
      </c>
      <c r="F96" s="54">
        <v>6796026.5607010005</v>
      </c>
      <c r="G96" s="54">
        <v>6891394.247858</v>
      </c>
      <c r="H96" s="54">
        <v>6849050.0227950001</v>
      </c>
      <c r="I96" s="54">
        <v>6807859.2869690005</v>
      </c>
      <c r="J96" s="54">
        <v>6840007.5115530007</v>
      </c>
      <c r="K96" s="54">
        <v>6971387.2496080007</v>
      </c>
      <c r="L96" s="54">
        <v>6963419.8264050009</v>
      </c>
      <c r="M96" s="54">
        <v>7081426.9282149989</v>
      </c>
      <c r="N96" s="54">
        <v>7326545.235595</v>
      </c>
      <c r="O96" s="54">
        <v>7461263.5544969998</v>
      </c>
      <c r="P96" s="54">
        <v>7673780.5663879998</v>
      </c>
      <c r="Q96" s="54">
        <v>7723535.629164</v>
      </c>
      <c r="R96" s="54">
        <v>9443349.7749320008</v>
      </c>
      <c r="U96" s="54">
        <f t="shared" si="3"/>
        <v>6796026.5607010005</v>
      </c>
      <c r="V96" s="54">
        <f t="shared" si="4"/>
        <v>6840007.5115530007</v>
      </c>
      <c r="W96" s="54">
        <f t="shared" si="5"/>
        <v>7326545.235595</v>
      </c>
      <c r="X96" s="54">
        <f t="shared" si="6"/>
        <v>9443349.7749320008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N121"/>
  <sheetViews>
    <sheetView showGridLines="0" zoomScaleNormal="100" workbookViewId="0">
      <pane xSplit="2" ySplit="3" topLeftCell="AH4" activePane="bottomRight" state="frozen"/>
      <selection activeCell="B42" sqref="B42"/>
      <selection pane="topRight" activeCell="B42" sqref="B42"/>
      <selection pane="bottomLeft" activeCell="B42" sqref="B42"/>
      <selection pane="bottomRight" activeCell="AL5" sqref="AL5"/>
    </sheetView>
  </sheetViews>
  <sheetFormatPr baseColWidth="10" defaultRowHeight="14.1" customHeight="1"/>
  <cols>
    <col min="1" max="1" width="4.7109375" style="25" customWidth="1"/>
    <col min="2" max="2" width="42" style="27" customWidth="1"/>
    <col min="3" max="3" width="11.42578125" style="60"/>
    <col min="4" max="6" width="11.42578125" style="60" customWidth="1"/>
    <col min="7" max="7" width="11.42578125" style="60"/>
    <col min="8" max="10" width="11.42578125" style="60" customWidth="1"/>
    <col min="11" max="11" width="11.42578125" style="60"/>
    <col min="12" max="14" width="11.42578125" style="60" customWidth="1"/>
    <col min="15" max="25" width="11.42578125" style="60"/>
    <col min="26" max="28" width="11.42578125" style="60" customWidth="1"/>
    <col min="29" max="35" width="11.42578125" style="60"/>
    <col min="36" max="36" width="11.42578125" style="25"/>
    <col min="37" max="37" width="11.42578125" style="25" customWidth="1"/>
    <col min="38" max="16384" width="11.42578125" style="25"/>
  </cols>
  <sheetData>
    <row r="2" spans="2:40" ht="14.1" customHeight="1">
      <c r="B2" s="13" t="s">
        <v>76</v>
      </c>
    </row>
    <row r="3" spans="2:40" ht="14.1" customHeight="1">
      <c r="B3" s="18" t="s">
        <v>133</v>
      </c>
      <c r="C3" s="61" t="s">
        <v>245</v>
      </c>
      <c r="D3" s="61" t="s">
        <v>214</v>
      </c>
      <c r="E3" s="61" t="s">
        <v>213</v>
      </c>
      <c r="F3" s="61" t="s">
        <v>212</v>
      </c>
      <c r="G3" s="61" t="s">
        <v>211</v>
      </c>
      <c r="H3" s="61" t="s">
        <v>80</v>
      </c>
      <c r="I3" s="61" t="s">
        <v>115</v>
      </c>
      <c r="J3" s="61" t="s">
        <v>116</v>
      </c>
      <c r="K3" s="61" t="s">
        <v>117</v>
      </c>
      <c r="L3" s="61" t="s">
        <v>253</v>
      </c>
      <c r="M3" s="61" t="s">
        <v>254</v>
      </c>
      <c r="N3" s="61" t="s">
        <v>255</v>
      </c>
      <c r="O3" s="61" t="s">
        <v>256</v>
      </c>
      <c r="P3" s="61" t="s">
        <v>272</v>
      </c>
      <c r="Q3" s="61" t="s">
        <v>310</v>
      </c>
      <c r="R3" s="61" t="s">
        <v>325</v>
      </c>
      <c r="S3" s="61" t="s">
        <v>335</v>
      </c>
      <c r="T3" s="61" t="s">
        <v>347</v>
      </c>
      <c r="U3" s="61" t="s">
        <v>359</v>
      </c>
      <c r="V3" s="61" t="s">
        <v>371</v>
      </c>
      <c r="W3" s="61" t="s">
        <v>373</v>
      </c>
      <c r="X3" s="61" t="s">
        <v>409</v>
      </c>
      <c r="Y3" s="61" t="s">
        <v>455</v>
      </c>
      <c r="Z3" s="61" t="s">
        <v>467</v>
      </c>
      <c r="AA3" s="61" t="s">
        <v>472</v>
      </c>
      <c r="AB3" s="61" t="s">
        <v>478</v>
      </c>
      <c r="AC3" s="61" t="s">
        <v>530</v>
      </c>
      <c r="AD3" s="61" t="s">
        <v>584</v>
      </c>
      <c r="AE3" s="61" t="s">
        <v>639</v>
      </c>
      <c r="AF3" s="61" t="s">
        <v>660</v>
      </c>
      <c r="AG3" s="61" t="s">
        <v>684</v>
      </c>
      <c r="AH3" s="61" t="s">
        <v>842</v>
      </c>
      <c r="AI3" s="61" t="s">
        <v>891</v>
      </c>
      <c r="AJ3" s="61" t="s">
        <v>919</v>
      </c>
      <c r="AK3" s="61" t="s">
        <v>922</v>
      </c>
    </row>
    <row r="4" spans="2:40" ht="14.1" customHeight="1">
      <c r="B4" s="13"/>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row>
    <row r="5" spans="2:40" ht="14.1" customHeight="1" thickBot="1">
      <c r="B5" s="28" t="s">
        <v>77</v>
      </c>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row>
    <row r="6" spans="2:40" ht="14.1" customHeight="1" thickTop="1">
      <c r="B6" s="17" t="s">
        <v>78</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row>
    <row r="7" spans="2:40" ht="14.1" customHeight="1">
      <c r="B7" s="15"/>
      <c r="C7" s="114"/>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row>
    <row r="8" spans="2:40" s="100" customFormat="1" ht="14.1" customHeight="1">
      <c r="B8" s="16" t="s">
        <v>79</v>
      </c>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row>
    <row r="9" spans="2:40" ht="14.1" customHeight="1">
      <c r="B9" s="17"/>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row>
    <row r="10" spans="2:40" ht="14.1" customHeight="1">
      <c r="B10" s="17" t="s">
        <v>81</v>
      </c>
      <c r="C10" s="66"/>
      <c r="D10" s="66">
        <v>363711.62840400002</v>
      </c>
      <c r="E10" s="66">
        <v>553075.5819649999</v>
      </c>
      <c r="F10" s="66">
        <v>323867.59311200003</v>
      </c>
      <c r="G10" s="66">
        <v>421540.19651899999</v>
      </c>
      <c r="H10" s="66">
        <v>539586.22373013478</v>
      </c>
      <c r="I10" s="66">
        <v>503725.06295886519</v>
      </c>
      <c r="J10" s="66">
        <v>517346.62347700004</v>
      </c>
      <c r="K10" s="66">
        <v>1044955.6509449999</v>
      </c>
      <c r="L10" s="66">
        <v>1060581.576412</v>
      </c>
      <c r="M10" s="66">
        <v>569167.47465600003</v>
      </c>
      <c r="N10" s="66">
        <v>480882.16040599998</v>
      </c>
      <c r="O10" s="66">
        <v>493696.17176600033</v>
      </c>
      <c r="P10" s="66">
        <v>447381.11200900003</v>
      </c>
      <c r="Q10" s="66">
        <v>420339.69722699991</v>
      </c>
      <c r="R10" s="66">
        <v>470739.04384700011</v>
      </c>
      <c r="S10" s="66">
        <v>499590.37656</v>
      </c>
      <c r="T10" s="66">
        <v>509067.95079500001</v>
      </c>
      <c r="U10" s="66">
        <v>447339.93446399999</v>
      </c>
      <c r="V10" s="66">
        <v>475992.36910399992</v>
      </c>
      <c r="W10" s="66">
        <v>521600.47136300011</v>
      </c>
      <c r="X10" s="66">
        <v>495959.291081</v>
      </c>
      <c r="Y10" s="66">
        <v>433775.77675399999</v>
      </c>
      <c r="Z10" s="66">
        <v>404044.46512199997</v>
      </c>
      <c r="AA10" s="66">
        <v>362495.20049099997</v>
      </c>
      <c r="AB10" s="66">
        <v>395529.09170599992</v>
      </c>
      <c r="AC10" s="66">
        <v>368379.82423299999</v>
      </c>
      <c r="AD10" s="66">
        <v>260911.16977300006</v>
      </c>
      <c r="AE10" s="66">
        <v>273532.94550599996</v>
      </c>
      <c r="AF10" s="66">
        <v>376655</v>
      </c>
      <c r="AG10" s="66">
        <v>326119.34560400003</v>
      </c>
      <c r="AH10" s="66">
        <v>293467.65568099997</v>
      </c>
      <c r="AI10" s="66">
        <v>481571.08058300009</v>
      </c>
      <c r="AJ10" s="66">
        <v>575745.946031</v>
      </c>
      <c r="AK10" s="66">
        <v>393444.25509300001</v>
      </c>
      <c r="AN10" s="60"/>
    </row>
    <row r="11" spans="2:40" ht="14.1" customHeight="1">
      <c r="B11" s="17" t="s">
        <v>82</v>
      </c>
      <c r="C11" s="66"/>
      <c r="D11" s="66">
        <v>146466.79991299997</v>
      </c>
      <c r="E11" s="66">
        <v>156669.94758400001</v>
      </c>
      <c r="F11" s="66">
        <v>165339.643874</v>
      </c>
      <c r="G11" s="66">
        <v>159533.444686</v>
      </c>
      <c r="H11" s="66">
        <v>166171.13452700002</v>
      </c>
      <c r="I11" s="66">
        <v>175872.47708099999</v>
      </c>
      <c r="J11" s="66">
        <v>190256.93055099994</v>
      </c>
      <c r="K11" s="66">
        <v>195692.00166200008</v>
      </c>
      <c r="L11" s="66">
        <v>209873.06075400001</v>
      </c>
      <c r="M11" s="66">
        <v>197206.405291</v>
      </c>
      <c r="N11" s="66">
        <v>214050.04743199993</v>
      </c>
      <c r="O11" s="66">
        <v>203686.87812900008</v>
      </c>
      <c r="P11" s="66">
        <v>206007.24705800001</v>
      </c>
      <c r="Q11" s="66">
        <v>225383.42169300001</v>
      </c>
      <c r="R11" s="66">
        <v>235887.19543100003</v>
      </c>
      <c r="S11" s="66">
        <v>226768.8520839999</v>
      </c>
      <c r="T11" s="66">
        <v>231381.79572200001</v>
      </c>
      <c r="U11" s="66">
        <v>250226.98340500001</v>
      </c>
      <c r="V11" s="66">
        <v>265596.12798500003</v>
      </c>
      <c r="W11" s="66">
        <v>267175.92588599992</v>
      </c>
      <c r="X11" s="66">
        <v>262695.60609299998</v>
      </c>
      <c r="Y11" s="66">
        <v>337965.11506499996</v>
      </c>
      <c r="Z11" s="66">
        <v>436333.68281400006</v>
      </c>
      <c r="AA11" s="66">
        <v>421149.18013000011</v>
      </c>
      <c r="AB11" s="66">
        <v>437271.32002300001</v>
      </c>
      <c r="AC11" s="66">
        <v>431467.324853</v>
      </c>
      <c r="AD11" s="66">
        <v>463622.98852699995</v>
      </c>
      <c r="AE11" s="66">
        <v>515434.75216999999</v>
      </c>
      <c r="AF11" s="66">
        <v>497947</v>
      </c>
      <c r="AG11" s="66">
        <v>501637.69680099998</v>
      </c>
      <c r="AH11" s="66">
        <v>560447.01107299991</v>
      </c>
      <c r="AI11" s="66">
        <v>586712.04465700011</v>
      </c>
      <c r="AJ11" s="66">
        <v>594780.54882799997</v>
      </c>
      <c r="AK11" s="66">
        <v>666491.14899999998</v>
      </c>
    </row>
    <row r="12" spans="2:40" ht="14.1" customHeight="1">
      <c r="B12" s="17" t="s">
        <v>83</v>
      </c>
      <c r="C12" s="66"/>
      <c r="D12" s="66">
        <v>52525.593497000002</v>
      </c>
      <c r="E12" s="66">
        <v>51704.384660000003</v>
      </c>
      <c r="F12" s="66">
        <v>53216.200405999989</v>
      </c>
      <c r="G12" s="66">
        <v>52243.102457000001</v>
      </c>
      <c r="H12" s="66">
        <v>54280.572751000014</v>
      </c>
      <c r="I12" s="66">
        <v>56092.335172999985</v>
      </c>
      <c r="J12" s="66">
        <v>57544.391036999994</v>
      </c>
      <c r="K12" s="66">
        <v>58828.89115000001</v>
      </c>
      <c r="L12" s="66">
        <v>60394.073872000001</v>
      </c>
      <c r="M12" s="66">
        <v>65939.185817999998</v>
      </c>
      <c r="N12" s="66">
        <v>63576.846511999989</v>
      </c>
      <c r="O12" s="66">
        <v>67093.162888999999</v>
      </c>
      <c r="P12" s="66">
        <v>66274.177572999994</v>
      </c>
      <c r="Q12" s="66">
        <v>65957.913503000018</v>
      </c>
      <c r="R12" s="66">
        <v>65437.076242999989</v>
      </c>
      <c r="S12" s="66">
        <v>67031.388060000027</v>
      </c>
      <c r="T12" s="66">
        <v>67434.226443000007</v>
      </c>
      <c r="U12" s="66">
        <v>64282.107501999984</v>
      </c>
      <c r="V12" s="66">
        <v>69570.542320000008</v>
      </c>
      <c r="W12" s="66">
        <v>76360.354370999994</v>
      </c>
      <c r="X12" s="66">
        <v>77366.437248000002</v>
      </c>
      <c r="Y12" s="66">
        <v>99580.613887999993</v>
      </c>
      <c r="Z12" s="66">
        <v>105429.08048400001</v>
      </c>
      <c r="AA12" s="66">
        <v>156873.45828199998</v>
      </c>
      <c r="AB12" s="66">
        <v>73725.297483000002</v>
      </c>
      <c r="AC12" s="66">
        <v>64645.983812999999</v>
      </c>
      <c r="AD12" s="66">
        <v>66425.008757000003</v>
      </c>
      <c r="AE12" s="66">
        <v>66794.593416999996</v>
      </c>
      <c r="AF12" s="66">
        <v>65925</v>
      </c>
      <c r="AG12" s="66">
        <v>73754.619922000013</v>
      </c>
      <c r="AH12" s="66">
        <v>79672.869576999976</v>
      </c>
      <c r="AI12" s="66">
        <v>89143.193539000029</v>
      </c>
      <c r="AJ12" s="66">
        <v>85851.091113000002</v>
      </c>
      <c r="AK12" s="66">
        <v>99810.216</v>
      </c>
    </row>
    <row r="13" spans="2:40" ht="14.1" customHeight="1">
      <c r="B13" s="17" t="s">
        <v>84</v>
      </c>
      <c r="C13" s="66"/>
      <c r="D13" s="66">
        <v>5842.7522179999996</v>
      </c>
      <c r="E13" s="66">
        <v>10118.46629</v>
      </c>
      <c r="F13" s="66">
        <v>9801.2901230000007</v>
      </c>
      <c r="G13" s="66">
        <v>16462.330421000002</v>
      </c>
      <c r="H13" s="66">
        <v>18936.600821</v>
      </c>
      <c r="I13" s="66">
        <v>17319.431306999999</v>
      </c>
      <c r="J13" s="66">
        <v>18890.870833000001</v>
      </c>
      <c r="K13" s="66">
        <v>18332.239604999995</v>
      </c>
      <c r="L13" s="66">
        <v>21466.895295999999</v>
      </c>
      <c r="M13" s="66">
        <v>16830.420312999999</v>
      </c>
      <c r="N13" s="66">
        <v>7465.594689000005</v>
      </c>
      <c r="O13" s="66">
        <v>5498.6084080000001</v>
      </c>
      <c r="P13" s="66">
        <v>10311.521417</v>
      </c>
      <c r="Q13" s="66">
        <v>11596.473249999999</v>
      </c>
      <c r="R13" s="66">
        <v>13038.005024999999</v>
      </c>
      <c r="S13" s="66">
        <v>16781.172480000001</v>
      </c>
      <c r="T13" s="66">
        <v>25970.971722000002</v>
      </c>
      <c r="U13" s="66">
        <v>45314.217074000007</v>
      </c>
      <c r="V13" s="66">
        <v>27207.293575000003</v>
      </c>
      <c r="W13" s="66">
        <v>22094.027443999992</v>
      </c>
      <c r="X13" s="66">
        <v>10260.515828</v>
      </c>
      <c r="Y13" s="66">
        <v>20328.589114000002</v>
      </c>
      <c r="Z13" s="66">
        <v>9574.8993000000009</v>
      </c>
      <c r="AA13" s="66">
        <v>462.68968299999688</v>
      </c>
      <c r="AB13" s="66">
        <v>1213.0065090000001</v>
      </c>
      <c r="AC13" s="66">
        <v>782.31392699999992</v>
      </c>
      <c r="AD13" s="66">
        <v>0</v>
      </c>
      <c r="AE13" s="66">
        <v>17.334912000000031</v>
      </c>
      <c r="AF13" s="66">
        <v>0</v>
      </c>
      <c r="AG13" s="66">
        <v>0</v>
      </c>
      <c r="AH13" s="66">
        <v>0</v>
      </c>
      <c r="AI13" s="66">
        <v>0</v>
      </c>
      <c r="AJ13" s="66">
        <v>0</v>
      </c>
      <c r="AK13" s="66">
        <v>0</v>
      </c>
    </row>
    <row r="14" spans="2:40" ht="14.1" customHeight="1">
      <c r="B14" s="17" t="s">
        <v>85</v>
      </c>
      <c r="C14" s="66"/>
      <c r="D14" s="66">
        <v>8784.8244889999987</v>
      </c>
      <c r="E14" s="66">
        <v>18018.142279</v>
      </c>
      <c r="F14" s="66">
        <v>9091.6049270000003</v>
      </c>
      <c r="G14" s="66">
        <v>10768.022541999999</v>
      </c>
      <c r="H14" s="66">
        <v>11732.387707844002</v>
      </c>
      <c r="I14" s="66">
        <v>11999.383870155998</v>
      </c>
      <c r="J14" s="66">
        <v>12759.202341999997</v>
      </c>
      <c r="K14" s="66">
        <v>21375.415944</v>
      </c>
      <c r="L14" s="66">
        <v>10774.057733</v>
      </c>
      <c r="M14" s="66">
        <v>12697.242772</v>
      </c>
      <c r="N14" s="66">
        <v>10593.593415000003</v>
      </c>
      <c r="O14" s="66">
        <v>23436.373907000001</v>
      </c>
      <c r="P14" s="66">
        <v>11952.47422</v>
      </c>
      <c r="Q14" s="66">
        <v>20057.253771</v>
      </c>
      <c r="R14" s="66">
        <v>-228.85886499999833</v>
      </c>
      <c r="S14" s="66">
        <v>13730.155875</v>
      </c>
      <c r="T14" s="66">
        <v>12943.689974000001</v>
      </c>
      <c r="U14" s="66">
        <v>13343.437249999999</v>
      </c>
      <c r="V14" s="66">
        <v>13161.114717</v>
      </c>
      <c r="W14" s="66">
        <v>18366.28901</v>
      </c>
      <c r="X14" s="66">
        <v>14957.465926000001</v>
      </c>
      <c r="Y14" s="66">
        <v>21557.149407000001</v>
      </c>
      <c r="Z14" s="66">
        <v>28626.436195999995</v>
      </c>
      <c r="AA14" s="66">
        <v>26326.578094999997</v>
      </c>
      <c r="AB14" s="66">
        <v>20654.918794000001</v>
      </c>
      <c r="AC14" s="66">
        <v>25793.152767999996</v>
      </c>
      <c r="AD14" s="66">
        <v>28049.304512999995</v>
      </c>
      <c r="AE14" s="66">
        <v>41756.258724000014</v>
      </c>
      <c r="AF14" s="66">
        <v>39948</v>
      </c>
      <c r="AG14" s="66">
        <v>38385.107493000003</v>
      </c>
      <c r="AH14" s="66">
        <v>44127.160428999996</v>
      </c>
      <c r="AI14" s="66">
        <v>55222.541135000007</v>
      </c>
      <c r="AJ14" s="66">
        <v>53090.717073</v>
      </c>
      <c r="AK14" s="66">
        <v>48259.659</v>
      </c>
    </row>
    <row r="15" spans="2:40" s="100" customFormat="1" ht="14.1" customHeight="1">
      <c r="B15" s="24" t="s">
        <v>86</v>
      </c>
      <c r="C15" s="67"/>
      <c r="D15" s="67">
        <f t="shared" ref="D15:J15" si="0">SUM(D10:D14)</f>
        <v>577331.59852100001</v>
      </c>
      <c r="E15" s="67">
        <f t="shared" si="0"/>
        <v>789586.52277799987</v>
      </c>
      <c r="F15" s="67">
        <f t="shared" si="0"/>
        <v>561316.33244200004</v>
      </c>
      <c r="G15" s="67">
        <f t="shared" si="0"/>
        <v>660547.09662500001</v>
      </c>
      <c r="H15" s="67">
        <f t="shared" si="0"/>
        <v>790706.91953697882</v>
      </c>
      <c r="I15" s="67">
        <f t="shared" si="0"/>
        <v>765008.69039002119</v>
      </c>
      <c r="J15" s="67">
        <f t="shared" si="0"/>
        <v>796798.01824</v>
      </c>
      <c r="K15" s="67">
        <f>SUM(K10:K14)</f>
        <v>1339184.199306</v>
      </c>
      <c r="L15" s="67">
        <f>SUM(L10:L14)</f>
        <v>1363089.6640669999</v>
      </c>
      <c r="M15" s="67">
        <f>SUM(M10:M14)</f>
        <v>861840.72885000007</v>
      </c>
      <c r="N15" s="67">
        <f>SUM(N10:N14)</f>
        <v>776568.24245399993</v>
      </c>
      <c r="O15" s="67">
        <v>793411.19509900047</v>
      </c>
      <c r="P15" s="67">
        <v>741926.53227700002</v>
      </c>
      <c r="Q15" s="67">
        <v>743334.75944399997</v>
      </c>
      <c r="R15" s="67">
        <v>784872.46168100007</v>
      </c>
      <c r="S15" s="67">
        <v>823901.94505899993</v>
      </c>
      <c r="T15" s="67">
        <v>846798.63465599995</v>
      </c>
      <c r="U15" s="67">
        <v>820506.67969499994</v>
      </c>
      <c r="V15" s="67">
        <v>851527.44770099991</v>
      </c>
      <c r="W15" s="67">
        <v>905597.06807400007</v>
      </c>
      <c r="X15" s="67">
        <v>861239.31617600005</v>
      </c>
      <c r="Y15" s="67">
        <v>913207.24422800005</v>
      </c>
      <c r="Z15" s="67">
        <v>984008.56391600007</v>
      </c>
      <c r="AA15" s="67">
        <v>967307.10668100009</v>
      </c>
      <c r="AB15" s="67">
        <v>928393.63451500004</v>
      </c>
      <c r="AC15" s="67">
        <v>891068.59959400003</v>
      </c>
      <c r="AD15" s="67">
        <v>819008.47156999994</v>
      </c>
      <c r="AE15" s="67">
        <v>897535.88472900004</v>
      </c>
      <c r="AF15" s="67">
        <v>980476</v>
      </c>
      <c r="AG15" s="67">
        <v>939896.76982000016</v>
      </c>
      <c r="AH15" s="67">
        <v>977714.69675999996</v>
      </c>
      <c r="AI15" s="67">
        <v>1212647.8599140001</v>
      </c>
      <c r="AJ15" s="67">
        <f>+SUM(AJ10:AJ14)</f>
        <v>1309468.3030449999</v>
      </c>
      <c r="AK15" s="67">
        <f>+SUM(AK10:AK14)</f>
        <v>1208005.2790930001</v>
      </c>
    </row>
    <row r="16" spans="2:40" ht="14.1" customHeight="1">
      <c r="B16" s="13"/>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v>0</v>
      </c>
    </row>
    <row r="17" spans="2:37" ht="14.1" customHeight="1">
      <c r="B17" s="17" t="s">
        <v>87</v>
      </c>
      <c r="C17" s="66"/>
      <c r="D17" s="66">
        <v>-362259.05806099996</v>
      </c>
      <c r="E17" s="66">
        <v>-461874.49462799996</v>
      </c>
      <c r="F17" s="66">
        <v>-394336.29729899997</v>
      </c>
      <c r="G17" s="66">
        <v>-526721.64973599999</v>
      </c>
      <c r="H17" s="66">
        <v>-613793.58885171474</v>
      </c>
      <c r="I17" s="66">
        <v>-590532.07193128567</v>
      </c>
      <c r="J17" s="66">
        <v>-676563</v>
      </c>
      <c r="K17" s="66">
        <v>-1248227.3201719997</v>
      </c>
      <c r="L17" s="66">
        <v>-1135672.065894</v>
      </c>
      <c r="M17" s="66">
        <v>-637754.18109699991</v>
      </c>
      <c r="N17" s="66">
        <v>-561048.75300900009</v>
      </c>
      <c r="O17" s="66">
        <v>-575805.43988227984</v>
      </c>
      <c r="P17" s="66">
        <v>-523367.71954000002</v>
      </c>
      <c r="Q17" s="66">
        <v>-500557.56915599998</v>
      </c>
      <c r="R17" s="66">
        <v>-527460.39438599988</v>
      </c>
      <c r="S17" s="66">
        <v>-548254.48662916292</v>
      </c>
      <c r="T17" s="66">
        <v>-592042.63686700002</v>
      </c>
      <c r="U17" s="66">
        <v>-582075.98412899999</v>
      </c>
      <c r="V17" s="66">
        <v>-623485.23343200004</v>
      </c>
      <c r="W17" s="66">
        <v>-615986.65350300004</v>
      </c>
      <c r="X17" s="66">
        <v>-622849.88997699996</v>
      </c>
      <c r="Y17" s="66">
        <v>-663405.32307499996</v>
      </c>
      <c r="Z17" s="66">
        <v>-694840.71804000018</v>
      </c>
      <c r="AA17" s="66">
        <v>-599578.44482300011</v>
      </c>
      <c r="AB17" s="66">
        <v>-622159.19033400004</v>
      </c>
      <c r="AC17" s="66">
        <v>-595956.58063599991</v>
      </c>
      <c r="AD17" s="66">
        <v>-561895.22776199994</v>
      </c>
      <c r="AE17" s="66">
        <v>-597965.13938900013</v>
      </c>
      <c r="AF17" s="66">
        <v>-665684</v>
      </c>
      <c r="AG17" s="66">
        <v>-660708.70042699995</v>
      </c>
      <c r="AH17" s="66">
        <v>-677371.84831400006</v>
      </c>
      <c r="AI17" s="66">
        <v>-825618.54378999979</v>
      </c>
      <c r="AJ17" s="66">
        <v>-881039.487127</v>
      </c>
      <c r="AK17" s="66">
        <v>-768611.15500000003</v>
      </c>
    </row>
    <row r="18" spans="2:37" s="100" customFormat="1" ht="14.1" customHeight="1">
      <c r="B18" s="16" t="s">
        <v>88</v>
      </c>
      <c r="C18" s="68"/>
      <c r="D18" s="68">
        <f t="shared" ref="D18:N18" si="1">+D15+D17</f>
        <v>215072.54046000005</v>
      </c>
      <c r="E18" s="68">
        <f t="shared" si="1"/>
        <v>327712.02814999991</v>
      </c>
      <c r="F18" s="68">
        <f t="shared" si="1"/>
        <v>166980.03514300007</v>
      </c>
      <c r="G18" s="68">
        <f t="shared" si="1"/>
        <v>133825.44688900001</v>
      </c>
      <c r="H18" s="68">
        <f t="shared" si="1"/>
        <v>176913.33068526408</v>
      </c>
      <c r="I18" s="68">
        <f t="shared" si="1"/>
        <v>174476.61845873552</v>
      </c>
      <c r="J18" s="68">
        <f t="shared" si="1"/>
        <v>120235.01824</v>
      </c>
      <c r="K18" s="68">
        <f t="shared" si="1"/>
        <v>90956.879134000279</v>
      </c>
      <c r="L18" s="68">
        <f t="shared" si="1"/>
        <v>227417.59817299992</v>
      </c>
      <c r="M18" s="68">
        <f t="shared" si="1"/>
        <v>224086.54775300017</v>
      </c>
      <c r="N18" s="68">
        <f t="shared" si="1"/>
        <v>215519.48944499984</v>
      </c>
      <c r="O18" s="68">
        <v>217605.75521672054</v>
      </c>
      <c r="P18" s="68">
        <v>218558.812737</v>
      </c>
      <c r="Q18" s="68">
        <v>242777.19028799998</v>
      </c>
      <c r="R18" s="68">
        <v>257412.06729500022</v>
      </c>
      <c r="S18" s="68">
        <v>275647.45842983702</v>
      </c>
      <c r="T18" s="68">
        <v>254755.99778900002</v>
      </c>
      <c r="U18" s="68">
        <v>238430.69556599995</v>
      </c>
      <c r="V18" s="68">
        <v>228042.21426899987</v>
      </c>
      <c r="W18" s="68">
        <v>289610.41457099997</v>
      </c>
      <c r="X18" s="68">
        <v>238389.42619900001</v>
      </c>
      <c r="Y18" s="68">
        <v>249801.92115300003</v>
      </c>
      <c r="Z18" s="68">
        <v>289167.84587599989</v>
      </c>
      <c r="AA18" s="68">
        <f>+AA15+AA17</f>
        <v>367728.66185799998</v>
      </c>
      <c r="AB18" s="68">
        <v>306234.44418099994</v>
      </c>
      <c r="AC18" s="68">
        <v>295112.01895800012</v>
      </c>
      <c r="AD18" s="68">
        <v>257113.243808</v>
      </c>
      <c r="AE18" s="68">
        <v>299570.74533999991</v>
      </c>
      <c r="AF18" s="68">
        <v>314792</v>
      </c>
      <c r="AG18" s="68">
        <v>279188.06939300016</v>
      </c>
      <c r="AH18" s="68">
        <v>300342.84844599979</v>
      </c>
      <c r="AI18" s="68">
        <v>387029.31612400012</v>
      </c>
      <c r="AJ18" s="68">
        <f>+AJ15+AJ17</f>
        <v>428428.81591799995</v>
      </c>
      <c r="AK18" s="68">
        <f>+AK15+AK17</f>
        <v>439394.12409300008</v>
      </c>
    </row>
    <row r="19" spans="2:37" s="100" customFormat="1" ht="14.1" customHeight="1">
      <c r="B19" s="13" t="s">
        <v>89</v>
      </c>
      <c r="C19" s="77"/>
      <c r="D19" s="77">
        <v>0.3726097277708475</v>
      </c>
      <c r="E19" s="77">
        <v>0.4078335997623283</v>
      </c>
      <c r="F19" s="77">
        <v>0.29280005049569069</v>
      </c>
      <c r="G19" s="77">
        <v>0.21052425957559837</v>
      </c>
      <c r="H19" s="77">
        <v>0.2226696161881806</v>
      </c>
      <c r="I19" s="77">
        <v>0.22732135266243433</v>
      </c>
      <c r="J19" s="77">
        <v>0.15411193731129139</v>
      </c>
      <c r="K19" s="77">
        <v>5.6734108556574007E-2</v>
      </c>
      <c r="L19" s="77">
        <v>0.16683979357195219</v>
      </c>
      <c r="M19" s="77">
        <v>0.26000923401706866</v>
      </c>
      <c r="N19" s="77">
        <v>0.27752807501365995</v>
      </c>
      <c r="O19" s="77">
        <v>0.27355567306148576</v>
      </c>
      <c r="P19" s="77">
        <v>0.2936355167446032</v>
      </c>
      <c r="Q19" s="77">
        <v>0.32761603927923155</v>
      </c>
      <c r="R19" s="77">
        <v>0.32794940971558445</v>
      </c>
      <c r="S19" s="77">
        <v>0.33382188050738787</v>
      </c>
      <c r="T19" s="77">
        <v>0.30581748913884238</v>
      </c>
      <c r="U19" s="77">
        <v>0.29042241122988749</v>
      </c>
      <c r="V19" s="77">
        <v>0.2677954732248124</v>
      </c>
      <c r="W19" s="77">
        <v>0.31936344188833649</v>
      </c>
      <c r="X19" s="77">
        <v>0.27694861206035853</v>
      </c>
      <c r="Y19" s="77">
        <v>0.27393592997412769</v>
      </c>
      <c r="Z19" s="77">
        <v>0.29597828614103083</v>
      </c>
      <c r="AA19" s="77">
        <v>0.37464629586072057</v>
      </c>
      <c r="AB19" s="77">
        <v>0.32965080270451841</v>
      </c>
      <c r="AC19" s="77">
        <f>+AC18/AC15</f>
        <v>0.33118888836669008</v>
      </c>
      <c r="AD19" s="77">
        <f>+AD18/AD15</f>
        <v>0.31393233737268461</v>
      </c>
      <c r="AE19" s="77">
        <f>+AE18/AE15</f>
        <v>0.33377021513791799</v>
      </c>
      <c r="AF19" s="77">
        <f t="shared" ref="AF19:AG19" si="2">+AF18/AF15</f>
        <v>0.32106038291605304</v>
      </c>
      <c r="AG19" s="77">
        <f t="shared" si="2"/>
        <v>0.29704120532988693</v>
      </c>
      <c r="AH19" s="77">
        <v>0.30666157926754223</v>
      </c>
      <c r="AI19" s="77">
        <f>+AI18/AI15</f>
        <v>0.31916051552793562</v>
      </c>
      <c r="AJ19" s="77">
        <f>+AJ18/AJ15</f>
        <v>0.32717769106876732</v>
      </c>
      <c r="AK19" s="77">
        <f>+AK18/AK15</f>
        <v>0.36373526812971207</v>
      </c>
    </row>
    <row r="20" spans="2:37" ht="14.1" customHeight="1">
      <c r="B20" s="13"/>
      <c r="C20" s="62"/>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v>0</v>
      </c>
      <c r="AJ20" s="62"/>
      <c r="AK20" s="62">
        <v>0</v>
      </c>
    </row>
    <row r="21" spans="2:37" ht="14.1" customHeight="1">
      <c r="B21" s="17" t="s">
        <v>90</v>
      </c>
      <c r="C21" s="66"/>
      <c r="D21" s="66">
        <v>10113.085131000002</v>
      </c>
      <c r="E21" s="66">
        <v>2039.4188140000006</v>
      </c>
      <c r="F21" s="66">
        <v>3317.1900039999982</v>
      </c>
      <c r="G21" s="66">
        <v>20548.11908099999</v>
      </c>
      <c r="H21" s="66">
        <v>21632.93825132522</v>
      </c>
      <c r="I21" s="66">
        <v>11226.798645674782</v>
      </c>
      <c r="J21" s="66">
        <v>14266.182884999995</v>
      </c>
      <c r="K21" s="66">
        <v>5656.0682540000053</v>
      </c>
      <c r="L21" s="66">
        <v>3224.8083240000001</v>
      </c>
      <c r="M21" s="66">
        <v>1278.9646310000003</v>
      </c>
      <c r="N21" s="66">
        <v>50.893853999999919</v>
      </c>
      <c r="O21" s="66">
        <v>23701.361671999999</v>
      </c>
      <c r="P21" s="66">
        <v>6997.6760549999999</v>
      </c>
      <c r="Q21" s="66">
        <v>1681.5011580000009</v>
      </c>
      <c r="R21" s="66">
        <v>2298.1757709999983</v>
      </c>
      <c r="S21" s="66">
        <v>2652.3031289999999</v>
      </c>
      <c r="T21" s="66">
        <v>4210.193319</v>
      </c>
      <c r="U21" s="66">
        <v>2287.6261869999998</v>
      </c>
      <c r="V21" s="66">
        <v>5135.9770989999997</v>
      </c>
      <c r="W21" s="66">
        <v>950</v>
      </c>
      <c r="X21" s="66">
        <v>1527.567292</v>
      </c>
      <c r="Y21" s="66">
        <v>1472.4242110000002</v>
      </c>
      <c r="Z21" s="66">
        <v>314262.45441999997</v>
      </c>
      <c r="AA21" s="66">
        <v>341593.55553600006</v>
      </c>
      <c r="AB21" s="66">
        <v>3623.9927150000003</v>
      </c>
      <c r="AC21" s="66">
        <v>15114.724926000001</v>
      </c>
      <c r="AD21" s="66">
        <v>10905.370923000002</v>
      </c>
      <c r="AE21" s="66">
        <v>19977.026113999997</v>
      </c>
      <c r="AF21" s="66">
        <v>2651</v>
      </c>
      <c r="AG21" s="66">
        <v>1439.7568139999998</v>
      </c>
      <c r="AH21" s="66">
        <v>3891.5584450000001</v>
      </c>
      <c r="AI21" s="66">
        <v>121182.29419500001</v>
      </c>
      <c r="AJ21" s="66">
        <v>3819.189574</v>
      </c>
      <c r="AK21" s="66">
        <v>13825.156999999999</v>
      </c>
    </row>
    <row r="22" spans="2:37" ht="14.1" customHeight="1">
      <c r="B22" s="18" t="s">
        <v>91</v>
      </c>
      <c r="C22" s="66"/>
      <c r="D22" s="66">
        <v>-23577.138937</v>
      </c>
      <c r="E22" s="66">
        <v>-30438.660659999998</v>
      </c>
      <c r="F22" s="66">
        <v>-32328.870191000002</v>
      </c>
      <c r="G22" s="66">
        <v>-40636.090324999997</v>
      </c>
      <c r="H22" s="66">
        <v>-43086.293830146402</v>
      </c>
      <c r="I22" s="66">
        <v>-44291.803290915996</v>
      </c>
      <c r="J22" s="66">
        <v>-46587.670579000012</v>
      </c>
      <c r="K22" s="66">
        <v>-57400.758177999989</v>
      </c>
      <c r="L22" s="66">
        <v>-82467.849451999995</v>
      </c>
      <c r="M22" s="66">
        <v>-41636.613649000006</v>
      </c>
      <c r="N22" s="66">
        <v>-50403.844153000013</v>
      </c>
      <c r="O22" s="66">
        <v>-54025.44657</v>
      </c>
      <c r="P22" s="66">
        <v>-73306.488423999996</v>
      </c>
      <c r="Q22" s="66">
        <v>-49367.922323999999</v>
      </c>
      <c r="R22" s="66">
        <v>-52150.005459000007</v>
      </c>
      <c r="S22" s="66">
        <v>-58568.604756999994</v>
      </c>
      <c r="T22" s="66">
        <v>-56203.339816</v>
      </c>
      <c r="U22" s="66">
        <v>-54335.904763999999</v>
      </c>
      <c r="V22" s="66">
        <v>-54119.438098000013</v>
      </c>
      <c r="W22" s="66">
        <v>-58331.351185999985</v>
      </c>
      <c r="X22" s="66">
        <v>-58722.075553000002</v>
      </c>
      <c r="Y22" s="66">
        <v>-71023.604072000002</v>
      </c>
      <c r="Z22" s="66">
        <v>-82648.836621999988</v>
      </c>
      <c r="AA22" s="66">
        <v>-83946.166717999993</v>
      </c>
      <c r="AB22" s="66">
        <v>-65457.614718999997</v>
      </c>
      <c r="AC22" s="66">
        <v>-76362.537875000009</v>
      </c>
      <c r="AD22" s="66">
        <v>-97017.233459999989</v>
      </c>
      <c r="AE22" s="66">
        <v>-63977.123121000011</v>
      </c>
      <c r="AF22" s="66">
        <v>-75007</v>
      </c>
      <c r="AG22" s="66">
        <v>-69433.705776999996</v>
      </c>
      <c r="AH22" s="66">
        <v>-76950.025790999993</v>
      </c>
      <c r="AI22" s="66">
        <v>-90106.967432000034</v>
      </c>
      <c r="AJ22" s="66">
        <v>-78599.572910999996</v>
      </c>
      <c r="AK22" s="66">
        <v>-86723.629000000001</v>
      </c>
    </row>
    <row r="23" spans="2:37" ht="14.1" customHeight="1">
      <c r="B23" s="17" t="s">
        <v>92</v>
      </c>
      <c r="C23" s="66"/>
      <c r="D23" s="66">
        <v>-7659.8673269999999</v>
      </c>
      <c r="E23" s="66">
        <v>-4401.2068089999993</v>
      </c>
      <c r="F23" s="66">
        <v>-35864.266797999997</v>
      </c>
      <c r="G23" s="66">
        <v>-35187.359759999999</v>
      </c>
      <c r="H23" s="66">
        <v>-46722.152515972397</v>
      </c>
      <c r="I23" s="66">
        <v>-8295.0580222786011</v>
      </c>
      <c r="J23" s="66">
        <v>-2095.5812799999985</v>
      </c>
      <c r="K23" s="66">
        <v>-2595.6369780000023</v>
      </c>
      <c r="L23" s="66">
        <v>-23479.328265</v>
      </c>
      <c r="M23" s="66">
        <v>-28229.352282000003</v>
      </c>
      <c r="N23" s="66">
        <v>24912.214078000005</v>
      </c>
      <c r="O23" s="66">
        <v>-15115.555111000001</v>
      </c>
      <c r="P23" s="66">
        <v>-11779.592751</v>
      </c>
      <c r="Q23" s="66">
        <v>-732.05076899999949</v>
      </c>
      <c r="R23" s="66">
        <v>-1691.7033900000006</v>
      </c>
      <c r="S23" s="66">
        <v>-858.02857899999981</v>
      </c>
      <c r="T23" s="66">
        <v>-10632.328896999999</v>
      </c>
      <c r="U23" s="66">
        <v>-2530.5607950000012</v>
      </c>
      <c r="V23" s="66">
        <v>-7992.8057819999995</v>
      </c>
      <c r="W23" s="66">
        <v>-7648.4421770000008</v>
      </c>
      <c r="X23" s="66">
        <v>-10439.527760999999</v>
      </c>
      <c r="Y23" s="66">
        <v>-10920.853612000001</v>
      </c>
      <c r="Z23" s="66">
        <v>188.62110100000064</v>
      </c>
      <c r="AA23" s="66">
        <v>-113359.67136399999</v>
      </c>
      <c r="AB23" s="66">
        <v>-17872.648402999999</v>
      </c>
      <c r="AC23" s="66">
        <v>-1610.3646609999996</v>
      </c>
      <c r="AD23" s="66">
        <v>-4126.3487700000005</v>
      </c>
      <c r="AE23" s="66">
        <v>-3862.8136489999997</v>
      </c>
      <c r="AF23" s="66">
        <v>-20463</v>
      </c>
      <c r="AG23" s="66">
        <v>-3205.5702999999994</v>
      </c>
      <c r="AH23" s="66">
        <v>-9000.8578469999993</v>
      </c>
      <c r="AI23" s="66">
        <v>-149746.30556000001</v>
      </c>
      <c r="AJ23" s="66">
        <v>-16115.455825999999</v>
      </c>
      <c r="AK23" s="66">
        <v>-2451.0839999999998</v>
      </c>
    </row>
    <row r="24" spans="2:37" ht="14.1" customHeight="1">
      <c r="B24" s="17" t="s">
        <v>308</v>
      </c>
      <c r="C24" s="66"/>
      <c r="D24" s="164" t="s">
        <v>159</v>
      </c>
      <c r="E24" s="164" t="s">
        <v>159</v>
      </c>
      <c r="F24" s="164" t="s">
        <v>159</v>
      </c>
      <c r="G24" s="164" t="s">
        <v>159</v>
      </c>
      <c r="H24" s="164" t="s">
        <v>159</v>
      </c>
      <c r="I24" s="164" t="s">
        <v>159</v>
      </c>
      <c r="J24" s="164" t="s">
        <v>159</v>
      </c>
      <c r="K24" s="164" t="s">
        <v>159</v>
      </c>
      <c r="L24" s="164" t="s">
        <v>159</v>
      </c>
      <c r="M24" s="164" t="s">
        <v>159</v>
      </c>
      <c r="N24" s="164" t="s">
        <v>159</v>
      </c>
      <c r="O24" s="164" t="s">
        <v>159</v>
      </c>
      <c r="P24" s="164" t="s">
        <v>159</v>
      </c>
      <c r="Q24" s="66">
        <v>-34.089213000000001</v>
      </c>
      <c r="R24" s="66">
        <v>-188.064446</v>
      </c>
      <c r="S24" s="66">
        <v>-1488.8423519999999</v>
      </c>
      <c r="T24" s="66">
        <v>433.17254699999995</v>
      </c>
      <c r="U24" s="66">
        <v>-342.02492999999998</v>
      </c>
      <c r="V24" s="66">
        <v>-117.43822399999996</v>
      </c>
      <c r="W24" s="66">
        <v>134.53119800000002</v>
      </c>
      <c r="X24" s="66">
        <v>-315.68364700000001</v>
      </c>
      <c r="Y24" s="66">
        <v>-414.98818</v>
      </c>
      <c r="Z24" s="66">
        <v>-617.22683100000006</v>
      </c>
      <c r="AA24" s="66">
        <v>-17944.969834000003</v>
      </c>
      <c r="AB24" s="66">
        <v>-2826.7474889999999</v>
      </c>
      <c r="AC24" s="66">
        <v>-266.96950900000002</v>
      </c>
      <c r="AD24" s="66">
        <v>-1634.9264220000005</v>
      </c>
      <c r="AE24" s="66">
        <v>78.590523000000758</v>
      </c>
      <c r="AF24" s="66">
        <v>-424</v>
      </c>
      <c r="AG24" s="66">
        <v>-443.62937900000009</v>
      </c>
      <c r="AH24" s="66">
        <v>2077.5834679999998</v>
      </c>
      <c r="AI24" s="66">
        <v>-3067.4372919999996</v>
      </c>
      <c r="AJ24" s="66">
        <v>12265.740428999999</v>
      </c>
      <c r="AK24" s="66">
        <v>-9850.6810000000005</v>
      </c>
    </row>
    <row r="25" spans="2:37" s="100" customFormat="1" ht="14.1" customHeight="1">
      <c r="B25" s="16" t="s">
        <v>93</v>
      </c>
      <c r="C25" s="67"/>
      <c r="D25" s="67">
        <v>193948.61932699999</v>
      </c>
      <c r="E25" s="67">
        <v>294911.57949499995</v>
      </c>
      <c r="F25" s="67">
        <v>102104.08815800009</v>
      </c>
      <c r="G25" s="67">
        <v>78550.115885000007</v>
      </c>
      <c r="H25" s="67">
        <v>108737.82259047043</v>
      </c>
      <c r="I25" s="67">
        <v>133116.55579121574</v>
      </c>
      <c r="J25" s="67">
        <v>85442.710612000024</v>
      </c>
      <c r="K25" s="67">
        <v>36616.552232000227</v>
      </c>
      <c r="L25" s="67">
        <v>124695.22877999993</v>
      </c>
      <c r="M25" s="67">
        <v>155499.54645300086</v>
      </c>
      <c r="N25" s="67">
        <v>190078.75322399969</v>
      </c>
      <c r="O25" s="67">
        <v>172166.11520772055</v>
      </c>
      <c r="P25" s="67">
        <v>140470.40761699999</v>
      </c>
      <c r="Q25" s="67">
        <v>194324.62913999998</v>
      </c>
      <c r="R25" s="67">
        <v>205680.46977100021</v>
      </c>
      <c r="S25" s="67">
        <v>217384.28587083699</v>
      </c>
      <c r="T25" s="67">
        <v>192563.69494200003</v>
      </c>
      <c r="U25" s="67">
        <v>183509.83126399998</v>
      </c>
      <c r="V25" s="67">
        <v>170948.50926399993</v>
      </c>
      <c r="W25" s="67">
        <v>224714.83543699997</v>
      </c>
      <c r="X25" s="67">
        <v>170439.70653000002</v>
      </c>
      <c r="Y25" s="67">
        <v>168914.89950000003</v>
      </c>
      <c r="Z25" s="67">
        <v>520352.85794399987</v>
      </c>
      <c r="AA25" s="67">
        <v>494071.40947800013</v>
      </c>
      <c r="AB25" s="67">
        <v>223701.42628499994</v>
      </c>
      <c r="AC25" s="67">
        <v>231986.87183900012</v>
      </c>
      <c r="AD25" s="67">
        <v>165240.10607899999</v>
      </c>
      <c r="AE25" s="67">
        <v>251786.42520699991</v>
      </c>
      <c r="AF25" s="67">
        <v>221550</v>
      </c>
      <c r="AG25" s="67">
        <v>207544.92075100017</v>
      </c>
      <c r="AH25" s="67">
        <v>220361.10672099979</v>
      </c>
      <c r="AI25" s="67">
        <v>328197.73225700005</v>
      </c>
      <c r="AJ25" s="67">
        <f>+AJ18+SUM(AJ21:AJ24)</f>
        <v>349798.71718399995</v>
      </c>
      <c r="AK25" s="67">
        <f>+AK18+SUM(AK21:AK24)</f>
        <v>354193.88709300006</v>
      </c>
    </row>
    <row r="26" spans="2:37" ht="14.1" customHeight="1">
      <c r="B26" s="19"/>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v>0</v>
      </c>
    </row>
    <row r="27" spans="2:37" ht="14.1" customHeight="1">
      <c r="B27" s="18" t="s">
        <v>94</v>
      </c>
      <c r="C27" s="66"/>
      <c r="D27" s="66">
        <v>9539.3058390000006</v>
      </c>
      <c r="E27" s="66">
        <v>10612.269024000001</v>
      </c>
      <c r="F27" s="66">
        <v>7690.2586009999977</v>
      </c>
      <c r="G27" s="66">
        <v>9073.5485630000003</v>
      </c>
      <c r="H27" s="66">
        <v>5577.1855080000005</v>
      </c>
      <c r="I27" s="66">
        <v>3368.3237520000002</v>
      </c>
      <c r="J27" s="66">
        <v>1721.1270539999987</v>
      </c>
      <c r="K27" s="66">
        <v>3760.8484280000011</v>
      </c>
      <c r="L27" s="66">
        <v>4257.5034900000001</v>
      </c>
      <c r="M27" s="66">
        <v>6179.1337410000006</v>
      </c>
      <c r="N27" s="66">
        <v>6643.5425219999997</v>
      </c>
      <c r="O27" s="66">
        <v>8968.4795659999982</v>
      </c>
      <c r="P27" s="66">
        <v>4962.7406789999995</v>
      </c>
      <c r="Q27" s="66">
        <v>4440.6014459999997</v>
      </c>
      <c r="R27" s="66">
        <v>5215.5833980000007</v>
      </c>
      <c r="S27" s="66">
        <v>803.31676399999924</v>
      </c>
      <c r="T27" s="66">
        <v>3852.2031400000005</v>
      </c>
      <c r="U27" s="66">
        <v>1599.7726470000002</v>
      </c>
      <c r="V27" s="66">
        <v>2721.8279579999999</v>
      </c>
      <c r="W27" s="66">
        <v>3740.1328440000007</v>
      </c>
      <c r="X27" s="66">
        <v>4851.1648649999997</v>
      </c>
      <c r="Y27" s="66">
        <v>7002.4146040000005</v>
      </c>
      <c r="Z27" s="66">
        <v>3973.6804499999998</v>
      </c>
      <c r="AA27" s="66">
        <v>5372.1455620000015</v>
      </c>
      <c r="AB27" s="66">
        <v>6148.2800349999998</v>
      </c>
      <c r="AC27" s="66">
        <v>9806.9820550000004</v>
      </c>
      <c r="AD27" s="66">
        <v>10254.089582000001</v>
      </c>
      <c r="AE27" s="66">
        <v>5528.7000630000002</v>
      </c>
      <c r="AF27" s="66">
        <v>8384</v>
      </c>
      <c r="AG27" s="66">
        <v>6938.9819429999989</v>
      </c>
      <c r="AH27" s="66">
        <v>7601.5952180000022</v>
      </c>
      <c r="AI27" s="66">
        <v>82471.745053999999</v>
      </c>
      <c r="AJ27" s="66">
        <v>5121.0000339999997</v>
      </c>
      <c r="AK27" s="66">
        <v>4150.0600000000004</v>
      </c>
    </row>
    <row r="28" spans="2:37" ht="14.1" customHeight="1">
      <c r="B28" s="18" t="s">
        <v>95</v>
      </c>
      <c r="C28" s="66"/>
      <c r="D28" s="66">
        <v>-35621.644901</v>
      </c>
      <c r="E28" s="66">
        <v>-37569.635470999987</v>
      </c>
      <c r="F28" s="66">
        <v>-36473.112125000014</v>
      </c>
      <c r="G28" s="66">
        <v>-47453.147003000005</v>
      </c>
      <c r="H28" s="66">
        <v>-56967.944363999995</v>
      </c>
      <c r="I28" s="66">
        <v>-63992.700401000009</v>
      </c>
      <c r="J28" s="66">
        <v>-64115.192582999996</v>
      </c>
      <c r="K28" s="66">
        <v>-71559.723868000001</v>
      </c>
      <c r="L28" s="66">
        <v>-81355.285839000004</v>
      </c>
      <c r="M28" s="66">
        <v>-90746.157552000004</v>
      </c>
      <c r="N28" s="66">
        <v>-83881.132396000001</v>
      </c>
      <c r="O28" s="66">
        <v>-101435.29628399998</v>
      </c>
      <c r="P28" s="66">
        <v>-77460.285413999998</v>
      </c>
      <c r="Q28" s="66">
        <v>-88536.865092000007</v>
      </c>
      <c r="R28" s="66">
        <v>-73613.479930000001</v>
      </c>
      <c r="S28" s="66">
        <v>-87208.395152000012</v>
      </c>
      <c r="T28" s="66">
        <v>-77876.863469999997</v>
      </c>
      <c r="U28" s="66">
        <v>-74919.095171000008</v>
      </c>
      <c r="V28" s="66">
        <v>-70502.779181999998</v>
      </c>
      <c r="W28" s="66">
        <v>-71454.988361000025</v>
      </c>
      <c r="X28" s="66">
        <v>-80174.588623999996</v>
      </c>
      <c r="Y28" s="66">
        <v>-115205.42601</v>
      </c>
      <c r="Z28" s="66">
        <v>-109195.67213300001</v>
      </c>
      <c r="AA28" s="66">
        <v>-114656.18242199998</v>
      </c>
      <c r="AB28" s="66">
        <v>-95978.230890000006</v>
      </c>
      <c r="AC28" s="66">
        <v>-85285.738794999983</v>
      </c>
      <c r="AD28" s="66">
        <v>-76068.669655000005</v>
      </c>
      <c r="AE28" s="66">
        <v>-102888.87694400002</v>
      </c>
      <c r="AF28" s="66">
        <v>-71338</v>
      </c>
      <c r="AG28" s="66">
        <v>-77277.227956000002</v>
      </c>
      <c r="AH28" s="66">
        <v>-81750.412550000008</v>
      </c>
      <c r="AI28" s="66">
        <v>-90706.656021999952</v>
      </c>
      <c r="AJ28" s="66">
        <v>-97610.691042000006</v>
      </c>
      <c r="AK28" s="66">
        <v>-115285.777</v>
      </c>
    </row>
    <row r="29" spans="2:37" ht="14.1" customHeight="1">
      <c r="B29" s="18" t="s">
        <v>242</v>
      </c>
      <c r="C29" s="70"/>
      <c r="D29" s="70">
        <v>-3578.6609380000009</v>
      </c>
      <c r="E29" s="70">
        <v>4669.4010429999998</v>
      </c>
      <c r="F29" s="70">
        <v>-5141.7429119999988</v>
      </c>
      <c r="G29" s="70">
        <v>799.51240199999665</v>
      </c>
      <c r="H29" s="70">
        <v>-14577.009883999999</v>
      </c>
      <c r="I29" s="70">
        <v>-548.82071699999869</v>
      </c>
      <c r="J29" s="70">
        <v>-37040.005617999996</v>
      </c>
      <c r="K29" s="70">
        <v>-16057.176925</v>
      </c>
      <c r="L29" s="70">
        <v>5008.3619739999995</v>
      </c>
      <c r="M29" s="70">
        <v>-4280.3055009999998</v>
      </c>
      <c r="N29" s="70">
        <v>-1253.2191499999999</v>
      </c>
      <c r="O29" s="70">
        <v>6847.8335590000006</v>
      </c>
      <c r="P29" s="70">
        <v>-1621.422673</v>
      </c>
      <c r="Q29" s="70">
        <v>-1066.9061579999998</v>
      </c>
      <c r="R29" s="70">
        <v>1025.3507519999998</v>
      </c>
      <c r="S29" s="70">
        <v>1744.7770890000002</v>
      </c>
      <c r="T29" s="70">
        <v>6044.9212260000004</v>
      </c>
      <c r="U29" s="70">
        <v>18283.273223999997</v>
      </c>
      <c r="V29" s="70">
        <v>-7546.2327839999998</v>
      </c>
      <c r="W29" s="70">
        <v>-3488.4347499999985</v>
      </c>
      <c r="X29" s="70">
        <v>4088.1686810000001</v>
      </c>
      <c r="Y29" s="70">
        <v>31886.256766999999</v>
      </c>
      <c r="Z29" s="70">
        <v>-21695.272441000005</v>
      </c>
      <c r="AA29" s="70">
        <v>-6027.9922670000014</v>
      </c>
      <c r="AB29" s="70">
        <v>19799.405718000002</v>
      </c>
      <c r="AC29" s="70">
        <v>-9370.9831350000004</v>
      </c>
      <c r="AD29" s="70">
        <v>-3177.5794069999993</v>
      </c>
      <c r="AE29" s="70">
        <v>-8247.9764270000014</v>
      </c>
      <c r="AF29" s="70">
        <v>11119</v>
      </c>
      <c r="AG29" s="70">
        <v>387.04328100000021</v>
      </c>
      <c r="AH29" s="70">
        <v>6292.4762709999995</v>
      </c>
      <c r="AI29" s="70">
        <v>17920.364062000001</v>
      </c>
      <c r="AJ29" s="70">
        <v>2549.6563200000001</v>
      </c>
      <c r="AK29" s="70">
        <v>-12578.441999999999</v>
      </c>
    </row>
    <row r="30" spans="2:37" s="100" customFormat="1" ht="14.1" customHeight="1">
      <c r="B30" s="16" t="s">
        <v>96</v>
      </c>
      <c r="C30" s="67"/>
      <c r="D30" s="67">
        <v>164287.418871</v>
      </c>
      <c r="E30" s="67">
        <v>272623.614091</v>
      </c>
      <c r="F30" s="67">
        <v>68179.491722000064</v>
      </c>
      <c r="G30" s="67">
        <v>40970.029846999998</v>
      </c>
      <c r="H30" s="67">
        <v>42769.846053329442</v>
      </c>
      <c r="I30" s="67">
        <v>71943.56622235672</v>
      </c>
      <c r="J30" s="67">
        <v>-13991.360534999963</v>
      </c>
      <c r="K30" s="67">
        <v>-47239.500132999783</v>
      </c>
      <c r="L30" s="67">
        <v>52605.808404999931</v>
      </c>
      <c r="M30" s="67">
        <v>66652.21714100086</v>
      </c>
      <c r="N30" s="67">
        <v>111587.94419999969</v>
      </c>
      <c r="O30" s="67">
        <v>86547.132048720552</v>
      </c>
      <c r="P30" s="67">
        <v>66351.440209000008</v>
      </c>
      <c r="Q30" s="67">
        <v>109161.459336</v>
      </c>
      <c r="R30" s="67">
        <v>138307.92399100019</v>
      </c>
      <c r="S30" s="67">
        <v>132723.98457183698</v>
      </c>
      <c r="T30" s="67">
        <v>124583.95583800002</v>
      </c>
      <c r="U30" s="67">
        <v>128473.78196399999</v>
      </c>
      <c r="V30" s="67">
        <v>95621.325255999909</v>
      </c>
      <c r="W30" s="67">
        <v>153511.54516999994</v>
      </c>
      <c r="X30" s="67">
        <v>99204.451452000008</v>
      </c>
      <c r="Y30" s="67">
        <v>92598.144861000037</v>
      </c>
      <c r="Z30" s="67">
        <v>393435.59381999983</v>
      </c>
      <c r="AA30" s="67">
        <v>378759.38035100012</v>
      </c>
      <c r="AB30" s="67">
        <v>153670.88114799993</v>
      </c>
      <c r="AC30" s="67">
        <v>147137.13196400015</v>
      </c>
      <c r="AD30" s="67">
        <v>96247.946598999974</v>
      </c>
      <c r="AE30" s="67">
        <v>146178.27189899987</v>
      </c>
      <c r="AF30" s="67">
        <v>169715</v>
      </c>
      <c r="AG30" s="67">
        <v>137593.71801900017</v>
      </c>
      <c r="AH30" s="67">
        <v>152504.7656599998</v>
      </c>
      <c r="AI30" s="67">
        <v>274975.353129</v>
      </c>
      <c r="AJ30" s="67">
        <f>+AJ25+SUM(AJ27:AJ29)</f>
        <v>259858.68249599994</v>
      </c>
      <c r="AK30" s="67">
        <f>+AK25+SUM(AK27:AK29)</f>
        <v>230479.72809300007</v>
      </c>
    </row>
    <row r="31" spans="2:37" ht="14.1" customHeight="1">
      <c r="B31" s="18" t="s">
        <v>243</v>
      </c>
      <c r="C31" s="71"/>
      <c r="D31" s="169">
        <v>0</v>
      </c>
      <c r="E31" s="169">
        <v>0</v>
      </c>
      <c r="F31" s="169">
        <v>0</v>
      </c>
      <c r="G31" s="71">
        <v>-2042</v>
      </c>
      <c r="H31" s="169">
        <v>0</v>
      </c>
      <c r="I31" s="169">
        <v>0</v>
      </c>
      <c r="J31" s="169">
        <v>0</v>
      </c>
      <c r="K31" s="71">
        <v>105437.43071900001</v>
      </c>
      <c r="L31" s="169">
        <v>0</v>
      </c>
      <c r="M31" s="169">
        <v>0</v>
      </c>
      <c r="N31" s="169">
        <v>0</v>
      </c>
      <c r="O31" s="71">
        <v>48112.6176291745</v>
      </c>
      <c r="P31" s="71">
        <v>3426.3486670000002</v>
      </c>
      <c r="Q31" s="71">
        <v>-5823.6672330000001</v>
      </c>
      <c r="R31" s="71">
        <v>-7509.8769900000007</v>
      </c>
      <c r="S31" s="71">
        <v>-11575.215007000001</v>
      </c>
      <c r="T31" s="71">
        <v>-661.94597799999997</v>
      </c>
      <c r="U31" s="71">
        <v>7464.9332939999995</v>
      </c>
      <c r="V31" s="71">
        <v>-2925.0507539999999</v>
      </c>
      <c r="W31" s="71">
        <v>26045.773753000001</v>
      </c>
      <c r="X31" s="71">
        <v>3854.082942</v>
      </c>
      <c r="Y31" s="71">
        <v>-8439.1876779999984</v>
      </c>
      <c r="Z31" s="71">
        <v>15855.605179</v>
      </c>
      <c r="AA31" s="71">
        <v>-44059.387414000004</v>
      </c>
      <c r="AB31" s="71">
        <v>-21261.057208999999</v>
      </c>
      <c r="AC31" s="71">
        <v>3953.9361719999979</v>
      </c>
      <c r="AD31" s="71">
        <v>-7300.3506369999996</v>
      </c>
      <c r="AE31" s="71">
        <v>-6638.9064419999995</v>
      </c>
      <c r="AF31" s="71">
        <v>75</v>
      </c>
      <c r="AG31" s="71">
        <v>-11390.847744999999</v>
      </c>
      <c r="AH31" s="71">
        <v>-4585.8278090000003</v>
      </c>
      <c r="AI31" s="71">
        <v>17692.407930000001</v>
      </c>
      <c r="AJ31" s="71">
        <v>1105.2705120000001</v>
      </c>
      <c r="AK31" s="71">
        <v>9456.6169830000017</v>
      </c>
    </row>
    <row r="32" spans="2:37" ht="14.1" customHeight="1">
      <c r="B32" s="18" t="s">
        <v>309</v>
      </c>
      <c r="C32" s="66"/>
      <c r="D32" s="66">
        <v>-54555.338767000001</v>
      </c>
      <c r="E32" s="66">
        <v>-90226.767642999999</v>
      </c>
      <c r="F32" s="66">
        <v>-39000.986460999993</v>
      </c>
      <c r="G32" s="66">
        <v>-28156.759870000009</v>
      </c>
      <c r="H32" s="66">
        <v>-33963.544124440203</v>
      </c>
      <c r="I32" s="66">
        <v>-58347.679545559797</v>
      </c>
      <c r="J32" s="66">
        <v>-27682.365876999993</v>
      </c>
      <c r="K32" s="66">
        <v>-90539.688877000022</v>
      </c>
      <c r="L32" s="66">
        <v>-60794.995409000003</v>
      </c>
      <c r="M32" s="66">
        <v>-34682.231768999998</v>
      </c>
      <c r="N32" s="66">
        <v>-39963.467272999987</v>
      </c>
      <c r="O32" s="66">
        <v>-59030.823924999997</v>
      </c>
      <c r="P32" s="66">
        <v>-47909.066169999998</v>
      </c>
      <c r="Q32" s="66">
        <v>-39020.276763000009</v>
      </c>
      <c r="R32" s="66">
        <v>-37474.39429099999</v>
      </c>
      <c r="S32" s="66">
        <v>-49692.208117999995</v>
      </c>
      <c r="T32" s="66">
        <v>-44764.157814999999</v>
      </c>
      <c r="U32" s="66">
        <v>-36873.467202</v>
      </c>
      <c r="V32" s="66">
        <v>-28283.270717000007</v>
      </c>
      <c r="W32" s="66">
        <v>-71494.616410000002</v>
      </c>
      <c r="X32" s="66">
        <v>-49530.905697000002</v>
      </c>
      <c r="Y32" s="66">
        <v>-40897.293295000003</v>
      </c>
      <c r="Z32" s="66">
        <v>-93678.585490999991</v>
      </c>
      <c r="AA32" s="66">
        <v>-143780.93552499998</v>
      </c>
      <c r="AB32" s="66">
        <v>-45655.851316</v>
      </c>
      <c r="AC32" s="66">
        <v>-54441.882878999997</v>
      </c>
      <c r="AD32" s="66">
        <v>-19954.085739000002</v>
      </c>
      <c r="AE32" s="66">
        <v>-53056.796398000006</v>
      </c>
      <c r="AF32" s="66">
        <v>-54022</v>
      </c>
      <c r="AG32" s="66">
        <v>-37414.938953999997</v>
      </c>
      <c r="AH32" s="66">
        <v>-43189.068429999999</v>
      </c>
      <c r="AI32" s="66">
        <v>-57387.518039999995</v>
      </c>
      <c r="AJ32" s="66">
        <v>-95008.473985999997</v>
      </c>
      <c r="AK32" s="66">
        <v>-87780.70193000001</v>
      </c>
    </row>
    <row r="33" spans="2:37" ht="6" customHeight="1">
      <c r="B33" s="18"/>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v>0</v>
      </c>
      <c r="AJ33" s="66"/>
      <c r="AK33" s="66"/>
    </row>
    <row r="34" spans="2:37" s="100" customFormat="1" ht="14.1" customHeight="1">
      <c r="B34" s="16" t="s">
        <v>97</v>
      </c>
      <c r="C34" s="67"/>
      <c r="D34" s="67">
        <v>109732.08010399999</v>
      </c>
      <c r="E34" s="67">
        <v>182396.84644799994</v>
      </c>
      <c r="F34" s="67">
        <v>29178.505261000071</v>
      </c>
      <c r="G34" s="67">
        <v>10771.269976999993</v>
      </c>
      <c r="H34" s="67">
        <v>8806.3019288892319</v>
      </c>
      <c r="I34" s="67">
        <v>13595.886676796916</v>
      </c>
      <c r="J34" s="67">
        <v>-41673.726411999953</v>
      </c>
      <c r="K34" s="67">
        <v>-32341.758290999765</v>
      </c>
      <c r="L34" s="67">
        <v>-8189.1870040000722</v>
      </c>
      <c r="M34" s="599">
        <v>31969.985372000818</v>
      </c>
      <c r="N34" s="599">
        <v>71624.476926999705</v>
      </c>
      <c r="O34" s="599">
        <v>75628.925752895069</v>
      </c>
      <c r="P34" s="599">
        <v>21868.722706000015</v>
      </c>
      <c r="Q34" s="599">
        <v>64317.515339999976</v>
      </c>
      <c r="R34" s="599">
        <v>93323.652710000213</v>
      </c>
      <c r="S34" s="599">
        <v>71456.561446836975</v>
      </c>
      <c r="T34" s="599">
        <v>79157.852045000021</v>
      </c>
      <c r="U34" s="599">
        <v>99065.248055999997</v>
      </c>
      <c r="V34" s="599">
        <v>64413.003784999906</v>
      </c>
      <c r="W34" s="599">
        <v>108062.70251299994</v>
      </c>
      <c r="X34" s="599">
        <v>53527.628697000007</v>
      </c>
      <c r="Y34" s="599">
        <v>43261.663888000039</v>
      </c>
      <c r="Z34" s="599">
        <v>315612.61350799986</v>
      </c>
      <c r="AA34" s="599">
        <v>190919.05741200014</v>
      </c>
      <c r="AB34" s="599">
        <v>86753.972622999921</v>
      </c>
      <c r="AC34" s="599">
        <v>96649.185257000048</v>
      </c>
      <c r="AD34" s="599">
        <v>68993.510222999976</v>
      </c>
      <c r="AE34" s="599">
        <v>86482.569058999856</v>
      </c>
      <c r="AF34" s="599">
        <v>115767</v>
      </c>
      <c r="AG34" s="599">
        <v>88787.931320000178</v>
      </c>
      <c r="AH34" s="599">
        <v>104729.86942099979</v>
      </c>
      <c r="AI34" s="599">
        <v>235281.2430190001</v>
      </c>
      <c r="AJ34" s="599">
        <f>+AJ30+SUM(AJ31:AJ32)</f>
        <v>165955.47902199993</v>
      </c>
      <c r="AK34" s="599">
        <f>+AK30+SUM(AK31:AK32)</f>
        <v>152155.64314600005</v>
      </c>
    </row>
    <row r="35" spans="2:37" ht="14.1" customHeight="1">
      <c r="B35" s="13"/>
      <c r="C35" s="20"/>
      <c r="D35" s="20"/>
      <c r="E35" s="20"/>
      <c r="F35" s="20"/>
      <c r="G35" s="20"/>
      <c r="H35" s="20"/>
      <c r="I35" s="20"/>
      <c r="J35" s="20"/>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row>
    <row r="36" spans="2:37" ht="14.1" customHeight="1">
      <c r="B36" s="1" t="s">
        <v>98</v>
      </c>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row>
    <row r="37" spans="2:37" ht="14.1" customHeight="1">
      <c r="B37" s="26" t="s">
        <v>99</v>
      </c>
      <c r="C37" s="66"/>
      <c r="D37" s="66">
        <v>62865</v>
      </c>
      <c r="E37" s="66">
        <v>115973.66513899999</v>
      </c>
      <c r="F37" s="66">
        <v>1276.3337080000201</v>
      </c>
      <c r="G37" s="66">
        <v>-6482.7897159999993</v>
      </c>
      <c r="H37" s="66">
        <v>-4635</v>
      </c>
      <c r="I37" s="66">
        <v>-14814.363813</v>
      </c>
      <c r="J37" s="66">
        <v>-71149.768039999995</v>
      </c>
      <c r="K37" s="66">
        <v>-75815.708627000015</v>
      </c>
      <c r="L37" s="66">
        <v>-29681.433939999999</v>
      </c>
      <c r="M37" s="66">
        <v>-3624.9172980000039</v>
      </c>
      <c r="N37" s="66">
        <v>33652.351238000003</v>
      </c>
      <c r="O37" s="66">
        <v>32650.8220138947</v>
      </c>
      <c r="P37" s="66">
        <v>607.93248599998333</v>
      </c>
      <c r="Q37" s="66">
        <v>42790.865659000039</v>
      </c>
      <c r="R37" s="66">
        <v>66420.637965999893</v>
      </c>
      <c r="S37" s="66">
        <v>39327.751422000074</v>
      </c>
      <c r="T37" s="66">
        <v>51226.519983000006</v>
      </c>
      <c r="U37" s="66">
        <v>66914.610795999994</v>
      </c>
      <c r="V37" s="66">
        <v>45864.142732000008</v>
      </c>
      <c r="W37" s="66">
        <v>63828.806886999984</v>
      </c>
      <c r="X37" s="66">
        <v>34149.500879999985</v>
      </c>
      <c r="Y37" s="66">
        <v>15822.039153000027</v>
      </c>
      <c r="Z37" s="66">
        <v>307634.9030049998</v>
      </c>
      <c r="AA37" s="66">
        <v>115840.25596200023</v>
      </c>
      <c r="AB37" s="66">
        <v>65028.208490999998</v>
      </c>
      <c r="AC37" s="66">
        <v>73092.36725000001</v>
      </c>
      <c r="AD37" s="66">
        <v>55671.524700999988</v>
      </c>
      <c r="AE37" s="66">
        <v>55527.872501000005</v>
      </c>
      <c r="AF37" s="66">
        <v>83504</v>
      </c>
      <c r="AG37" s="66">
        <v>57293.366529000006</v>
      </c>
      <c r="AH37" s="66">
        <v>76512.107091999991</v>
      </c>
      <c r="AI37" s="66">
        <v>117237.11030600002</v>
      </c>
      <c r="AJ37" s="66">
        <v>102688.672103</v>
      </c>
      <c r="AK37" s="66">
        <v>105752.61199999999</v>
      </c>
    </row>
    <row r="38" spans="2:37" ht="14.1" customHeight="1">
      <c r="B38" s="26" t="s">
        <v>100</v>
      </c>
      <c r="C38" s="66"/>
      <c r="D38" s="66">
        <v>46867.244047000015</v>
      </c>
      <c r="E38" s="66">
        <v>66423.381764999984</v>
      </c>
      <c r="F38" s="66">
        <v>27902.007610000015</v>
      </c>
      <c r="G38" s="66">
        <v>17254.366577999986</v>
      </c>
      <c r="H38" s="66">
        <v>13440.954150344041</v>
      </c>
      <c r="I38" s="66">
        <v>28410.273952298361</v>
      </c>
      <c r="J38" s="66">
        <v>29476.041628357591</v>
      </c>
      <c r="K38" s="66">
        <v>43473.950336000009</v>
      </c>
      <c r="L38" s="66">
        <v>21492.246936</v>
      </c>
      <c r="M38" s="66">
        <v>35594.902669999996</v>
      </c>
      <c r="N38" s="66">
        <v>37971.279574000007</v>
      </c>
      <c r="O38" s="66">
        <v>42977.949854000239</v>
      </c>
      <c r="P38" s="66">
        <v>21260.790219999937</v>
      </c>
      <c r="Q38" s="66">
        <v>21526.649680999908</v>
      </c>
      <c r="R38" s="66">
        <v>26903.014744000655</v>
      </c>
      <c r="S38" s="66">
        <v>32128.810024836959</v>
      </c>
      <c r="T38" s="66">
        <v>27931.33206200006</v>
      </c>
      <c r="U38" s="66">
        <v>32150.637260000076</v>
      </c>
      <c r="V38" s="66">
        <v>18548.861052999884</v>
      </c>
      <c r="W38" s="66">
        <v>44233.895625999925</v>
      </c>
      <c r="X38" s="66">
        <v>19378.127817000095</v>
      </c>
      <c r="Y38" s="66">
        <v>27439.624735000143</v>
      </c>
      <c r="Z38" s="66">
        <v>7977.710503000344</v>
      </c>
      <c r="AA38" s="66">
        <v>75078.801449998689</v>
      </c>
      <c r="AB38" s="66">
        <v>21725.764131999982</v>
      </c>
      <c r="AC38" s="66">
        <v>23556.818006999907</v>
      </c>
      <c r="AD38" s="66">
        <v>13321.985522000643</v>
      </c>
      <c r="AE38" s="66">
        <v>30954.696557999734</v>
      </c>
      <c r="AF38" s="66">
        <v>32262</v>
      </c>
      <c r="AG38" s="66">
        <v>31494.564791000332</v>
      </c>
      <c r="AH38" s="66">
        <v>28217.762328999932</v>
      </c>
      <c r="AI38" s="66">
        <v>118045.13271299974</v>
      </c>
      <c r="AJ38" s="66">
        <v>63266.806918999951</v>
      </c>
      <c r="AK38" s="66">
        <v>46403.091</v>
      </c>
    </row>
    <row r="39" spans="2:37" s="100" customFormat="1" ht="14.1" customHeight="1">
      <c r="B39" s="16" t="s">
        <v>101</v>
      </c>
      <c r="C39" s="67"/>
      <c r="D39" s="67">
        <v>109731.76818918731</v>
      </c>
      <c r="E39" s="67">
        <v>182397.04690399999</v>
      </c>
      <c r="F39" s="67">
        <v>29178.341318000035</v>
      </c>
      <c r="G39" s="67">
        <v>10771.576861999987</v>
      </c>
      <c r="H39" s="67">
        <v>8805.9541503440414</v>
      </c>
      <c r="I39" s="67">
        <v>13595.910139298361</v>
      </c>
      <c r="J39" s="67">
        <v>-41673.726411642405</v>
      </c>
      <c r="K39" s="67">
        <v>-32341.758291000006</v>
      </c>
      <c r="L39" s="67">
        <v>-8189.1870039999994</v>
      </c>
      <c r="M39" s="67">
        <v>31969.985371999992</v>
      </c>
      <c r="N39" s="67">
        <v>71623.630812000018</v>
      </c>
      <c r="O39" s="67">
        <v>75628.771867894946</v>
      </c>
      <c r="P39" s="67">
        <v>21868.72270599992</v>
      </c>
      <c r="Q39" s="67">
        <v>64317.515339999947</v>
      </c>
      <c r="R39" s="67">
        <v>93323.652710000548</v>
      </c>
      <c r="S39" s="67">
        <v>71456.561446837033</v>
      </c>
      <c r="T39" s="67">
        <v>79157.852045000065</v>
      </c>
      <c r="U39" s="67">
        <v>99065.248055999997</v>
      </c>
      <c r="V39" s="67">
        <v>64413.003784999906</v>
      </c>
      <c r="W39" s="67">
        <v>108062.70251299994</v>
      </c>
      <c r="X39" s="67">
        <v>53527.62869700008</v>
      </c>
      <c r="Y39" s="67">
        <v>43261.66388800017</v>
      </c>
      <c r="Z39" s="67">
        <v>315612.61350800015</v>
      </c>
      <c r="AA39" s="67">
        <v>190919.05741199892</v>
      </c>
      <c r="AB39" s="67">
        <v>86753.97262299998</v>
      </c>
      <c r="AC39" s="67">
        <v>96649.185256999917</v>
      </c>
      <c r="AD39" s="67">
        <v>68993.510223000631</v>
      </c>
      <c r="AE39" s="67">
        <v>86482.569058999739</v>
      </c>
      <c r="AF39" s="67">
        <v>115767</v>
      </c>
      <c r="AG39" s="67">
        <v>88787.931320000338</v>
      </c>
      <c r="AH39" s="67">
        <v>104729.86942099992</v>
      </c>
      <c r="AI39" s="67">
        <v>235281.24301899981</v>
      </c>
      <c r="AJ39" s="67">
        <f>+AJ37+AJ38</f>
        <v>165955.47902199996</v>
      </c>
      <c r="AK39" s="67">
        <f>+AK37+AK38</f>
        <v>152155.70299999998</v>
      </c>
    </row>
    <row r="40" spans="2:37" ht="14.1" customHeight="1">
      <c r="B40" s="18"/>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v>0</v>
      </c>
      <c r="AJ40" s="62"/>
      <c r="AK40" s="62"/>
    </row>
    <row r="41" spans="2:37" s="100" customFormat="1" ht="14.1" customHeight="1">
      <c r="B41" s="21" t="s">
        <v>24</v>
      </c>
      <c r="C41" s="72"/>
      <c r="D41" s="72">
        <v>233296.52283000003</v>
      </c>
      <c r="E41" s="72">
        <v>339094.88570499991</v>
      </c>
      <c r="F41" s="72">
        <v>177593.5254300001</v>
      </c>
      <c r="G41" s="72">
        <v>155054.85656400002</v>
      </c>
      <c r="H41" s="72">
        <v>212759.03685511762</v>
      </c>
      <c r="I41" s="72">
        <v>201142.81516781953</v>
      </c>
      <c r="J41" s="72">
        <v>152326.10900700005</v>
      </c>
      <c r="K41" s="72">
        <v>117316.12095600023</v>
      </c>
      <c r="L41" s="72">
        <v>266900.25230503583</v>
      </c>
      <c r="M41" s="72">
        <v>262596.7280570009</v>
      </c>
      <c r="N41" s="72">
        <v>245990.73273875663</v>
      </c>
      <c r="O41" s="72">
        <v>255886.30864672057</v>
      </c>
      <c r="P41" s="72">
        <v>241430.43472600001</v>
      </c>
      <c r="Q41" s="72">
        <v>278978.63662100001</v>
      </c>
      <c r="R41" s="72">
        <v>294157.93742491619</v>
      </c>
      <c r="S41" s="72">
        <v>309114.00061905349</v>
      </c>
      <c r="T41" s="72">
        <v>289812.0536257198</v>
      </c>
      <c r="U41" s="72">
        <v>269387.68104073254</v>
      </c>
      <c r="V41" s="72">
        <v>259495.49925273517</v>
      </c>
      <c r="W41" s="72">
        <v>316356.9792003982</v>
      </c>
      <c r="X41" s="72">
        <v>275710.74532099767</v>
      </c>
      <c r="Y41" s="72">
        <v>287162.97218665073</v>
      </c>
      <c r="Z41" s="72">
        <v>320540.27161471022</v>
      </c>
      <c r="AA41" s="72">
        <v>379015.20692108269</v>
      </c>
      <c r="AB41" s="72">
        <v>330642.76110521657</v>
      </c>
      <c r="AC41" s="72">
        <v>312386.16602347954</v>
      </c>
      <c r="AD41" s="72">
        <v>257372.40458234961</v>
      </c>
      <c r="AE41" s="72">
        <v>335687.65427728975</v>
      </c>
      <c r="AF41" s="72">
        <v>336321</v>
      </c>
      <c r="AG41" s="72">
        <v>313327.33973316534</v>
      </c>
      <c r="AH41" s="72">
        <v>316412.33057895256</v>
      </c>
      <c r="AI41" s="72">
        <v>402403.8225018821</v>
      </c>
      <c r="AJ41" s="72">
        <v>454758.57805854728</v>
      </c>
      <c r="AK41" s="72">
        <v>457984.90153369115</v>
      </c>
    </row>
    <row r="42" spans="2:37" s="100" customFormat="1" ht="14.1" customHeight="1">
      <c r="B42" s="22" t="s">
        <v>25</v>
      </c>
      <c r="C42" s="78"/>
      <c r="D42" s="78">
        <v>0.40515657455908033</v>
      </c>
      <c r="E42" s="78">
        <v>0.42214753251754872</v>
      </c>
      <c r="F42" s="78">
        <v>0.31154006366319659</v>
      </c>
      <c r="G42" s="78">
        <v>0.24197991872350907</v>
      </c>
      <c r="H42" s="78">
        <v>0.26815793446513242</v>
      </c>
      <c r="I42" s="78">
        <v>0.2629943715672674</v>
      </c>
      <c r="J42" s="78">
        <v>0.19551508684226571</v>
      </c>
      <c r="K42" s="113">
        <v>7.6187506846027722E-2</v>
      </c>
      <c r="L42" s="113">
        <v>0.19580535260512172</v>
      </c>
      <c r="M42" s="113">
        <v>0.30469287336582185</v>
      </c>
      <c r="N42" s="113">
        <v>0.31676640801252948</v>
      </c>
      <c r="O42" s="113">
        <v>0.32203747353637563</v>
      </c>
      <c r="P42" s="113">
        <v>0.32541016424502445</v>
      </c>
      <c r="Q42" s="113">
        <v>0.37530686285903087</v>
      </c>
      <c r="R42" s="113">
        <v>0.37478437808214549</v>
      </c>
      <c r="S42" s="113">
        <v>0.37518299656024934</v>
      </c>
      <c r="T42" s="113">
        <v>0.34224435629073952</v>
      </c>
      <c r="U42" s="113">
        <v>0.32831869344545711</v>
      </c>
      <c r="V42" s="113">
        <v>0.30474120353176543</v>
      </c>
      <c r="W42" s="113">
        <v>0.34933525113240249</v>
      </c>
      <c r="X42" s="113">
        <v>0.32013255798073009</v>
      </c>
      <c r="Y42" s="113">
        <v>0.31445542509839625</v>
      </c>
      <c r="Z42" s="113">
        <v>0.32574947349957528</v>
      </c>
      <c r="AA42" s="113">
        <v>0.39182510322037245</v>
      </c>
      <c r="AB42" s="113">
        <v>0.35614501092303041</v>
      </c>
      <c r="AC42" s="113">
        <v>0.35057476625908812</v>
      </c>
      <c r="AD42" s="113">
        <v>0.31424876972148902</v>
      </c>
      <c r="AE42" s="113">
        <v>0.37401028748688586</v>
      </c>
      <c r="AF42" s="113">
        <f>AF41/AF15</f>
        <v>0.34301808509336279</v>
      </c>
      <c r="AG42" s="113">
        <f t="shared" ref="AG42:AI42" si="3">AG41/AG15</f>
        <v>0.33336356692998392</v>
      </c>
      <c r="AH42" s="113">
        <f t="shared" si="3"/>
        <v>0.32362439843391494</v>
      </c>
      <c r="AI42" s="113">
        <f t="shared" si="3"/>
        <v>0.33183897469659512</v>
      </c>
      <c r="AJ42" s="113">
        <f>+AJ41/AJ15</f>
        <v>0.34728490716504151</v>
      </c>
      <c r="AK42" s="113">
        <f>+AK41/AK15</f>
        <v>0.37912491729966397</v>
      </c>
    </row>
    <row r="43" spans="2:37" ht="14.1" customHeight="1">
      <c r="AJ43" s="60"/>
      <c r="AK43" s="60"/>
    </row>
    <row r="44" spans="2:37" ht="14.1" customHeight="1">
      <c r="B44" s="27" t="s">
        <v>410</v>
      </c>
      <c r="D44" s="60">
        <v>41804.121307000001</v>
      </c>
      <c r="E44" s="60">
        <v>41821.518214999996</v>
      </c>
      <c r="F44" s="60">
        <v>42942.360478000002</v>
      </c>
      <c r="G44" s="60">
        <v>61865.5</v>
      </c>
      <c r="H44" s="60">
        <v>78932</v>
      </c>
      <c r="I44" s="60">
        <v>70958</v>
      </c>
      <c r="J44" s="60">
        <v>79054</v>
      </c>
      <c r="K44" s="60">
        <v>83760</v>
      </c>
      <c r="L44" s="60">
        <v>85942.297537035905</v>
      </c>
      <c r="M44" s="60">
        <v>80112.999999999985</v>
      </c>
      <c r="N44" s="60">
        <v>80875.688576000015</v>
      </c>
      <c r="O44" s="60">
        <v>92306.000000000029</v>
      </c>
      <c r="P44" s="60">
        <v>81788.983097000004</v>
      </c>
      <c r="Q44" s="60">
        <v>85565.229135999994</v>
      </c>
      <c r="R44" s="60">
        <v>88895.875588916009</v>
      </c>
      <c r="S44" s="60">
        <v>92035.146946216497</v>
      </c>
      <c r="T44" s="60">
        <v>91259.395652719788</v>
      </c>
      <c r="U44" s="60">
        <v>85292.890238732551</v>
      </c>
      <c r="V44" s="60">
        <v>85572.723081735254</v>
      </c>
      <c r="W44" s="60">
        <v>85077.915815398213</v>
      </c>
      <c r="X44" s="60">
        <v>96043.394674997719</v>
      </c>
      <c r="Y44" s="60">
        <v>108384.65510565075</v>
      </c>
      <c r="Z44" s="60">
        <v>114021.26236071033</v>
      </c>
      <c r="AA44" s="60">
        <v>95232.711781082675</v>
      </c>
      <c r="AB44" s="60">
        <v>89865.931643216638</v>
      </c>
      <c r="AC44" s="60">
        <v>93636.684940479405</v>
      </c>
      <c r="AD44" s="60">
        <v>97276.394234349602</v>
      </c>
      <c r="AE44" s="60">
        <v>100094.03205828986</v>
      </c>
      <c r="AF44" s="60">
        <v>96536</v>
      </c>
      <c r="AG44" s="60">
        <v>103572.97611716518</v>
      </c>
      <c r="AH44" s="60">
        <v>93019.507923952769</v>
      </c>
      <c r="AI44" s="60">
        <v>105481.47380988207</v>
      </c>
      <c r="AJ44" s="60">
        <v>104929.33505154733</v>
      </c>
      <c r="AK44" s="60">
        <v>105313.32518457246</v>
      </c>
    </row>
    <row r="45" spans="2:37" ht="14.1" customHeight="1">
      <c r="X45" s="231"/>
      <c r="Y45" s="231"/>
      <c r="Z45" s="231"/>
      <c r="AA45" s="231"/>
      <c r="AB45" s="231"/>
      <c r="AC45" s="231"/>
      <c r="AD45" s="231"/>
      <c r="AE45" s="231"/>
      <c r="AF45" s="231"/>
      <c r="AG45" s="231"/>
      <c r="AH45" s="231"/>
      <c r="AI45" s="231"/>
    </row>
    <row r="47" spans="2:37" ht="14.1" customHeight="1" thickBot="1">
      <c r="B47" s="28" t="s">
        <v>102</v>
      </c>
    </row>
    <row r="48" spans="2:37" ht="14.1" customHeight="1" thickTop="1">
      <c r="B48" s="17" t="s">
        <v>78</v>
      </c>
    </row>
    <row r="49" spans="2:37" ht="14.1" customHeight="1">
      <c r="B49" s="25"/>
    </row>
    <row r="50" spans="2:37" ht="14.1" customHeight="1">
      <c r="B50" s="100" t="s">
        <v>274</v>
      </c>
      <c r="AK50" s="73"/>
    </row>
    <row r="51" spans="2:37" ht="14.1" customHeight="1">
      <c r="B51" s="18" t="s">
        <v>103</v>
      </c>
      <c r="C51" s="73">
        <f>5347510</f>
        <v>5347510</v>
      </c>
      <c r="D51" s="73">
        <f>5341563-5850</f>
        <v>5335713</v>
      </c>
      <c r="E51" s="73">
        <f>5346708-5850</f>
        <v>5340858</v>
      </c>
      <c r="F51" s="73">
        <f>5360968-5850</f>
        <v>5355118</v>
      </c>
      <c r="G51" s="73">
        <v>6708938.0040640002</v>
      </c>
      <c r="H51" s="73">
        <v>6849779</v>
      </c>
      <c r="I51" s="73">
        <v>6776333</v>
      </c>
      <c r="J51" s="73">
        <v>7081583</v>
      </c>
      <c r="K51" s="73">
        <v>7213798.2629530001</v>
      </c>
      <c r="L51" s="73">
        <v>7057168.5294770002</v>
      </c>
      <c r="M51" s="73">
        <v>6984828.6398910005</v>
      </c>
      <c r="N51" s="73">
        <v>6923264</v>
      </c>
      <c r="O51" s="73">
        <v>7035609.9341263995</v>
      </c>
      <c r="P51" s="137">
        <v>6966076.6328499997</v>
      </c>
      <c r="Q51" s="137">
        <v>7052111.2606619997</v>
      </c>
      <c r="R51" s="137">
        <v>7040155.3991670003</v>
      </c>
      <c r="S51" s="137">
        <v>7183749.624632</v>
      </c>
      <c r="T51" s="137">
        <v>7062995.414566</v>
      </c>
      <c r="U51" s="137">
        <v>7165789.7768000001</v>
      </c>
      <c r="V51" s="137">
        <v>7248365.9838140002</v>
      </c>
      <c r="W51" s="137">
        <v>7598157.1117160004</v>
      </c>
      <c r="X51" s="73">
        <v>7749004.2378380001</v>
      </c>
      <c r="Y51" s="73">
        <v>9420755.979195999</v>
      </c>
      <c r="Z51" s="73">
        <v>8797438.3735349998</v>
      </c>
      <c r="AA51" s="73">
        <v>7854189.9448690005</v>
      </c>
      <c r="AB51" s="73">
        <v>8238190.7097420003</v>
      </c>
      <c r="AC51" s="73">
        <v>8154924.4716379996</v>
      </c>
      <c r="AD51" s="73">
        <v>8319604.9394190004</v>
      </c>
      <c r="AE51" s="73">
        <v>8353654.25703</v>
      </c>
      <c r="AF51" s="73">
        <v>8595696.9675629996</v>
      </c>
      <c r="AG51" s="73">
        <v>8773237.6119669992</v>
      </c>
      <c r="AH51" s="73">
        <v>9215832</v>
      </c>
      <c r="AI51" s="73">
        <v>9074663.0429190006</v>
      </c>
      <c r="AJ51" s="73">
        <v>9209328.8702930007</v>
      </c>
      <c r="AK51" s="73">
        <v>9687728.2239999995</v>
      </c>
    </row>
    <row r="52" spans="2:37" s="251" customFormat="1" ht="14.1" customHeight="1">
      <c r="B52" s="249" t="s">
        <v>348</v>
      </c>
      <c r="C52" s="250" t="s">
        <v>159</v>
      </c>
      <c r="D52" s="250" t="s">
        <v>159</v>
      </c>
      <c r="E52" s="250" t="s">
        <v>159</v>
      </c>
      <c r="F52" s="250" t="s">
        <v>159</v>
      </c>
      <c r="G52" s="250" t="s">
        <v>159</v>
      </c>
      <c r="H52" s="250">
        <v>20883</v>
      </c>
      <c r="I52" s="250">
        <v>20692</v>
      </c>
      <c r="J52" s="250">
        <v>23471</v>
      </c>
      <c r="K52" s="250" t="s">
        <v>159</v>
      </c>
      <c r="L52" s="250" t="s">
        <v>159</v>
      </c>
      <c r="M52" s="250" t="s">
        <v>159</v>
      </c>
      <c r="N52" s="250" t="s">
        <v>159</v>
      </c>
      <c r="O52" s="250" t="s">
        <v>159</v>
      </c>
      <c r="P52" s="250" t="s">
        <v>159</v>
      </c>
      <c r="Q52" s="250" t="s">
        <v>159</v>
      </c>
      <c r="R52" s="250" t="s">
        <v>159</v>
      </c>
      <c r="S52" s="250" t="s">
        <v>159</v>
      </c>
      <c r="T52" s="250" t="s">
        <v>159</v>
      </c>
      <c r="U52" s="250" t="s">
        <v>159</v>
      </c>
      <c r="V52" s="250" t="s">
        <v>159</v>
      </c>
      <c r="W52" s="250" t="s">
        <v>159</v>
      </c>
      <c r="X52" s="250" t="s">
        <v>159</v>
      </c>
      <c r="Y52" s="250" t="s">
        <v>159</v>
      </c>
      <c r="Z52" s="250" t="s">
        <v>159</v>
      </c>
      <c r="AA52" s="250" t="s">
        <v>159</v>
      </c>
      <c r="AB52" s="250" t="s">
        <v>159</v>
      </c>
      <c r="AC52" s="250" t="s">
        <v>159</v>
      </c>
      <c r="AD52" s="250" t="s">
        <v>159</v>
      </c>
      <c r="AE52" s="250" t="s">
        <v>159</v>
      </c>
      <c r="AF52" s="250" t="s">
        <v>159</v>
      </c>
      <c r="AG52" s="250" t="s">
        <v>159</v>
      </c>
      <c r="AH52" s="250" t="s">
        <v>159</v>
      </c>
      <c r="AI52" s="250" t="s">
        <v>159</v>
      </c>
      <c r="AJ52" s="250" t="s">
        <v>159</v>
      </c>
      <c r="AK52" s="250">
        <v>0</v>
      </c>
    </row>
    <row r="53" spans="2:37" s="251" customFormat="1" ht="14.1" customHeight="1">
      <c r="B53" s="249" t="s">
        <v>104</v>
      </c>
      <c r="C53" s="73">
        <v>163309</v>
      </c>
      <c r="D53" s="73">
        <v>177406</v>
      </c>
      <c r="E53" s="73">
        <v>202451</v>
      </c>
      <c r="F53" s="73">
        <v>221622</v>
      </c>
      <c r="G53" s="73">
        <v>237701.92267199999</v>
      </c>
      <c r="H53" s="73">
        <v>240789</v>
      </c>
      <c r="I53" s="73">
        <v>252835</v>
      </c>
      <c r="J53" s="73">
        <v>254907</v>
      </c>
      <c r="K53" s="73">
        <v>3625.0686700000001</v>
      </c>
      <c r="L53" s="73">
        <v>4530.7692029999998</v>
      </c>
      <c r="M53" s="73">
        <v>21693.817414000001</v>
      </c>
      <c r="N53" s="73">
        <v>22973</v>
      </c>
      <c r="O53" s="73">
        <v>26930.842410000001</v>
      </c>
      <c r="P53" s="73">
        <v>40368.943152</v>
      </c>
      <c r="Q53" s="73">
        <v>64142.600043999999</v>
      </c>
      <c r="R53" s="73">
        <v>63404.986505000001</v>
      </c>
      <c r="S53" s="73">
        <v>90160.650410999995</v>
      </c>
      <c r="T53" s="73">
        <v>116983.335953</v>
      </c>
      <c r="U53" s="73">
        <v>144515.317977</v>
      </c>
      <c r="V53" s="73">
        <v>163288.65942700001</v>
      </c>
      <c r="W53" s="73">
        <v>194681.63280399999</v>
      </c>
      <c r="X53" s="250" t="s">
        <v>159</v>
      </c>
      <c r="Y53" s="250" t="s">
        <v>159</v>
      </c>
      <c r="Z53" s="250" t="s">
        <v>159</v>
      </c>
      <c r="AA53" s="250" t="s">
        <v>159</v>
      </c>
      <c r="AB53" s="250" t="s">
        <v>159</v>
      </c>
      <c r="AC53" s="250" t="s">
        <v>159</v>
      </c>
      <c r="AD53" s="250" t="s">
        <v>159</v>
      </c>
      <c r="AE53" s="250" t="s">
        <v>159</v>
      </c>
      <c r="AF53" s="250" t="s">
        <v>159</v>
      </c>
      <c r="AG53" s="250" t="s">
        <v>159</v>
      </c>
      <c r="AH53" s="250" t="s">
        <v>159</v>
      </c>
      <c r="AI53" s="250" t="s">
        <v>159</v>
      </c>
      <c r="AJ53" s="250" t="s">
        <v>159</v>
      </c>
      <c r="AK53" s="73">
        <v>0</v>
      </c>
    </row>
    <row r="54" spans="2:37" ht="14.1" customHeight="1">
      <c r="B54" s="18" t="s">
        <v>411</v>
      </c>
      <c r="C54" s="250" t="s">
        <v>159</v>
      </c>
      <c r="D54" s="250" t="s">
        <v>159</v>
      </c>
      <c r="E54" s="250" t="s">
        <v>159</v>
      </c>
      <c r="F54" s="250" t="s">
        <v>159</v>
      </c>
      <c r="G54" s="250" t="s">
        <v>159</v>
      </c>
      <c r="H54" s="250" t="s">
        <v>159</v>
      </c>
      <c r="I54" s="250" t="s">
        <v>159</v>
      </c>
      <c r="J54" s="250" t="s">
        <v>159</v>
      </c>
      <c r="K54" s="250" t="s">
        <v>159</v>
      </c>
      <c r="L54" s="250" t="s">
        <v>159</v>
      </c>
      <c r="M54" s="250" t="s">
        <v>159</v>
      </c>
      <c r="N54" s="250" t="s">
        <v>159</v>
      </c>
      <c r="O54" s="250" t="s">
        <v>159</v>
      </c>
      <c r="P54" s="250" t="s">
        <v>159</v>
      </c>
      <c r="Q54" s="250" t="s">
        <v>159</v>
      </c>
      <c r="R54" s="250" t="s">
        <v>159</v>
      </c>
      <c r="S54" s="250" t="s">
        <v>159</v>
      </c>
      <c r="T54" s="250" t="s">
        <v>159</v>
      </c>
      <c r="U54" s="250" t="s">
        <v>159</v>
      </c>
      <c r="V54" s="250" t="s">
        <v>159</v>
      </c>
      <c r="W54" s="250" t="s">
        <v>159</v>
      </c>
      <c r="X54" s="73">
        <v>79871.881970999995</v>
      </c>
      <c r="Y54" s="73">
        <v>76502.726057000007</v>
      </c>
      <c r="Z54" s="73">
        <v>70836.598144000003</v>
      </c>
      <c r="AA54" s="73">
        <v>67415.840901000003</v>
      </c>
      <c r="AB54" s="73">
        <v>64045.384591000002</v>
      </c>
      <c r="AC54" s="73">
        <v>59862.320234999999</v>
      </c>
      <c r="AD54" s="73">
        <v>72552.077921000004</v>
      </c>
      <c r="AE54" s="73">
        <v>77313.469991999998</v>
      </c>
      <c r="AF54" s="73">
        <v>76960.640100000004</v>
      </c>
      <c r="AG54" s="73">
        <v>75284.403783000002</v>
      </c>
      <c r="AH54" s="73">
        <v>76525</v>
      </c>
      <c r="AI54" s="73">
        <v>82060.401725000003</v>
      </c>
      <c r="AJ54" s="73">
        <v>81996.446811000002</v>
      </c>
      <c r="AK54" s="73">
        <v>77766.966</v>
      </c>
    </row>
    <row r="55" spans="2:37" ht="14.1" customHeight="1">
      <c r="B55" s="25" t="s">
        <v>349</v>
      </c>
      <c r="C55" s="73">
        <v>20811</v>
      </c>
      <c r="D55" s="73">
        <v>20447</v>
      </c>
      <c r="E55" s="73">
        <v>21167</v>
      </c>
      <c r="F55" s="73">
        <v>22145</v>
      </c>
      <c r="G55" s="73">
        <v>294105.28799799999</v>
      </c>
      <c r="H55" s="73">
        <v>218690</v>
      </c>
      <c r="I55" s="73">
        <v>215227</v>
      </c>
      <c r="J55" s="73">
        <v>368056</v>
      </c>
      <c r="K55" s="73">
        <v>365676.04465499998</v>
      </c>
      <c r="L55" s="73">
        <v>343716.10855900001</v>
      </c>
      <c r="M55" s="73">
        <v>331971.05909400003</v>
      </c>
      <c r="N55" s="73">
        <v>337629</v>
      </c>
      <c r="O55" s="73">
        <v>381579.74997309031</v>
      </c>
      <c r="P55" s="137">
        <v>363090</v>
      </c>
      <c r="Q55" s="137">
        <v>369408.97618699999</v>
      </c>
      <c r="R55" s="137">
        <v>352409.84378599998</v>
      </c>
      <c r="S55" s="137">
        <v>350885.762162</v>
      </c>
      <c r="T55" s="137">
        <v>327317.254655</v>
      </c>
      <c r="U55" s="137">
        <v>333853.23215699999</v>
      </c>
      <c r="V55" s="137">
        <v>329466.134793</v>
      </c>
      <c r="W55" s="137">
        <v>357499.396802</v>
      </c>
      <c r="X55" s="73">
        <v>342338.70288300002</v>
      </c>
      <c r="Y55" s="73">
        <v>385992.70857000002</v>
      </c>
      <c r="Z55" s="73">
        <v>395470.39691200003</v>
      </c>
      <c r="AA55" s="73">
        <v>370788.06107</v>
      </c>
      <c r="AB55" s="73">
        <v>421109.78991599998</v>
      </c>
      <c r="AC55" s="73">
        <v>419434.85578799999</v>
      </c>
      <c r="AD55" s="73">
        <v>419840.94181799999</v>
      </c>
      <c r="AE55" s="73">
        <v>353692.10898000002</v>
      </c>
      <c r="AF55" s="73">
        <v>365170.75927500002</v>
      </c>
      <c r="AG55" s="73">
        <v>354775.66626600001</v>
      </c>
      <c r="AH55" s="73">
        <v>345300</v>
      </c>
      <c r="AI55" s="73">
        <v>323489.283834</v>
      </c>
      <c r="AJ55" s="73">
        <v>324097.27901</v>
      </c>
      <c r="AK55" s="73">
        <v>358622.49699999997</v>
      </c>
    </row>
    <row r="56" spans="2:37" ht="14.1" customHeight="1">
      <c r="B56" s="25" t="s">
        <v>531</v>
      </c>
      <c r="C56" s="250" t="s">
        <v>159</v>
      </c>
      <c r="D56" s="250" t="s">
        <v>159</v>
      </c>
      <c r="E56" s="250" t="s">
        <v>159</v>
      </c>
      <c r="F56" s="250" t="s">
        <v>159</v>
      </c>
      <c r="G56" s="250" t="s">
        <v>159</v>
      </c>
      <c r="H56" s="250" t="s">
        <v>159</v>
      </c>
      <c r="I56" s="250" t="s">
        <v>159</v>
      </c>
      <c r="J56" s="250" t="s">
        <v>159</v>
      </c>
      <c r="K56" s="250" t="s">
        <v>159</v>
      </c>
      <c r="L56" s="250" t="s">
        <v>159</v>
      </c>
      <c r="M56" s="250" t="s">
        <v>159</v>
      </c>
      <c r="N56" s="250" t="s">
        <v>159</v>
      </c>
      <c r="O56" s="250" t="s">
        <v>159</v>
      </c>
      <c r="P56" s="250" t="s">
        <v>159</v>
      </c>
      <c r="Q56" s="250" t="s">
        <v>159</v>
      </c>
      <c r="R56" s="250" t="s">
        <v>159</v>
      </c>
      <c r="S56" s="250" t="s">
        <v>159</v>
      </c>
      <c r="T56" s="250" t="s">
        <v>159</v>
      </c>
      <c r="U56" s="250" t="s">
        <v>159</v>
      </c>
      <c r="V56" s="250" t="s">
        <v>159</v>
      </c>
      <c r="W56" s="250" t="s">
        <v>159</v>
      </c>
      <c r="X56" s="250" t="s">
        <v>159</v>
      </c>
      <c r="Y56" s="250" t="s">
        <v>159</v>
      </c>
      <c r="Z56" s="250" t="s">
        <v>159</v>
      </c>
      <c r="AA56" s="250" t="s">
        <v>159</v>
      </c>
      <c r="AB56" s="73"/>
      <c r="AC56" s="73">
        <v>175968.91043700001</v>
      </c>
      <c r="AD56" s="73">
        <v>167388.961862</v>
      </c>
      <c r="AE56" s="73">
        <v>152357.433295</v>
      </c>
      <c r="AF56" s="73">
        <v>158272.22339999999</v>
      </c>
      <c r="AG56" s="73">
        <v>161772.91970599999</v>
      </c>
      <c r="AH56" s="73">
        <v>152949</v>
      </c>
      <c r="AI56" s="73">
        <v>298372.21962799999</v>
      </c>
      <c r="AJ56" s="73">
        <v>308832.59702799999</v>
      </c>
      <c r="AK56" s="73">
        <v>296638.625</v>
      </c>
    </row>
    <row r="57" spans="2:37" ht="14.1" customHeight="1">
      <c r="B57" s="18" t="s">
        <v>532</v>
      </c>
      <c r="C57" s="73">
        <v>353098</v>
      </c>
      <c r="D57" s="73">
        <v>375068</v>
      </c>
      <c r="E57" s="73">
        <v>416634</v>
      </c>
      <c r="F57" s="73">
        <v>446626</v>
      </c>
      <c r="G57" s="73">
        <v>416686.129227</v>
      </c>
      <c r="H57" s="73">
        <v>350743</v>
      </c>
      <c r="I57" s="73">
        <v>388135</v>
      </c>
      <c r="J57" s="73">
        <v>376458</v>
      </c>
      <c r="K57" s="73">
        <v>105906.822629</v>
      </c>
      <c r="L57" s="73">
        <v>6100.2835240000004</v>
      </c>
      <c r="M57" s="73">
        <v>6086.1699189999999</v>
      </c>
      <c r="N57" s="73">
        <v>6066</v>
      </c>
      <c r="O57" s="73">
        <v>38437.958058999997</v>
      </c>
      <c r="P57" s="137">
        <v>37955</v>
      </c>
      <c r="Q57" s="137">
        <v>69134.398314999999</v>
      </c>
      <c r="R57" s="137">
        <v>72865.520055000001</v>
      </c>
      <c r="S57" s="137">
        <v>105407.95310300001</v>
      </c>
      <c r="T57" s="137">
        <v>104417.084925</v>
      </c>
      <c r="U57" s="137">
        <v>109027.694128</v>
      </c>
      <c r="V57" s="137">
        <v>120529.11760699999</v>
      </c>
      <c r="W57" s="137">
        <v>99745.855681999994</v>
      </c>
      <c r="X57" s="73">
        <v>97772.962243999995</v>
      </c>
      <c r="Y57" s="73">
        <v>99975.568281999993</v>
      </c>
      <c r="Z57" s="73">
        <v>105367.985679</v>
      </c>
      <c r="AA57" s="73">
        <v>266508.395808</v>
      </c>
      <c r="AB57" s="73">
        <v>286476.244619</v>
      </c>
      <c r="AC57" s="73">
        <v>101600.095999</v>
      </c>
      <c r="AD57" s="73">
        <v>109112.40054</v>
      </c>
      <c r="AE57" s="73">
        <v>98140.361094000007</v>
      </c>
      <c r="AF57" s="73">
        <v>99416.192548000006</v>
      </c>
      <c r="AG57" s="73">
        <v>129726.657826</v>
      </c>
      <c r="AH57" s="73">
        <v>121825</v>
      </c>
      <c r="AI57" s="73">
        <v>245985.33176999999</v>
      </c>
      <c r="AJ57" s="73">
        <v>238281.12425200001</v>
      </c>
      <c r="AK57" s="73">
        <v>273258.98300000001</v>
      </c>
    </row>
    <row r="58" spans="2:37" ht="14.1" customHeight="1">
      <c r="B58" s="18" t="s">
        <v>350</v>
      </c>
      <c r="C58" s="73">
        <v>12273.847249</v>
      </c>
      <c r="D58" s="73">
        <v>10496</v>
      </c>
      <c r="E58" s="73">
        <v>10645</v>
      </c>
      <c r="F58" s="73">
        <v>7694</v>
      </c>
      <c r="G58" s="73">
        <v>30452.841658000001</v>
      </c>
      <c r="H58" s="73">
        <v>3814</v>
      </c>
      <c r="I58" s="73">
        <v>3336</v>
      </c>
      <c r="J58" s="73">
        <v>3264</v>
      </c>
      <c r="K58" s="73">
        <v>4023.842193</v>
      </c>
      <c r="L58" s="73">
        <v>4326.5460210000001</v>
      </c>
      <c r="M58" s="73">
        <v>4235.6156719999999</v>
      </c>
      <c r="N58" s="73">
        <v>4751</v>
      </c>
      <c r="O58" s="73">
        <v>58360.328643000001</v>
      </c>
      <c r="P58" s="137">
        <v>5010</v>
      </c>
      <c r="Q58" s="137">
        <v>42352.078939999999</v>
      </c>
      <c r="R58" s="137">
        <v>42207.018258999997</v>
      </c>
      <c r="S58" s="137">
        <v>41956.547031000002</v>
      </c>
      <c r="T58" s="137">
        <v>42878.725079999997</v>
      </c>
      <c r="U58" s="137">
        <v>6421.7653039999996</v>
      </c>
      <c r="V58" s="137">
        <v>6421.4170290000002</v>
      </c>
      <c r="W58" s="137">
        <v>6291.5692319999998</v>
      </c>
      <c r="X58" s="73">
        <v>6791.0010430000002</v>
      </c>
      <c r="Y58" s="73">
        <v>6983.3159409999998</v>
      </c>
      <c r="Z58" s="73">
        <v>126153.17947</v>
      </c>
      <c r="AA58" s="73">
        <v>9239.7072879999996</v>
      </c>
      <c r="AB58" s="73">
        <v>17420.164911</v>
      </c>
      <c r="AC58" s="73">
        <v>51574.687880999998</v>
      </c>
      <c r="AD58" s="73">
        <v>88905.196364000003</v>
      </c>
      <c r="AE58" s="73">
        <v>26467.041815</v>
      </c>
      <c r="AF58" s="73">
        <v>62276.448555000003</v>
      </c>
      <c r="AG58" s="73">
        <v>104088.858695</v>
      </c>
      <c r="AH58" s="73">
        <v>155946</v>
      </c>
      <c r="AI58" s="73">
        <v>217534</v>
      </c>
      <c r="AJ58" s="73">
        <v>255166.19925000001</v>
      </c>
      <c r="AK58" s="73">
        <v>318075.79100000003</v>
      </c>
    </row>
    <row r="59" spans="2:37" ht="14.1" customHeight="1">
      <c r="B59" s="18" t="s">
        <v>614</v>
      </c>
      <c r="C59" s="73"/>
      <c r="D59" s="73"/>
      <c r="E59" s="73"/>
      <c r="F59" s="73"/>
      <c r="G59" s="73"/>
      <c r="H59" s="73"/>
      <c r="I59" s="73"/>
      <c r="J59" s="73"/>
      <c r="K59" s="73"/>
      <c r="L59" s="73"/>
      <c r="M59" s="73"/>
      <c r="N59" s="73"/>
      <c r="O59" s="73"/>
      <c r="P59" s="137"/>
      <c r="Q59" s="137"/>
      <c r="R59" s="137"/>
      <c r="S59" s="137"/>
      <c r="T59" s="137"/>
      <c r="U59" s="137"/>
      <c r="V59" s="137"/>
      <c r="W59" s="137"/>
      <c r="X59" s="73"/>
      <c r="Y59" s="73"/>
      <c r="Z59" s="73"/>
      <c r="AA59" s="73"/>
      <c r="AB59" s="73"/>
      <c r="AC59" s="73"/>
      <c r="AD59" s="73">
        <v>260000.63813000001</v>
      </c>
      <c r="AE59" s="73">
        <v>262904.476639</v>
      </c>
      <c r="AF59" s="73">
        <v>276194.15178399999</v>
      </c>
      <c r="AG59" s="73">
        <v>277608.76484700001</v>
      </c>
      <c r="AH59" s="73">
        <v>271042</v>
      </c>
      <c r="AI59" s="73" t="s">
        <v>159</v>
      </c>
      <c r="AJ59" s="73">
        <v>9621.6286120000004</v>
      </c>
      <c r="AK59" s="73" t="s">
        <v>563</v>
      </c>
    </row>
    <row r="60" spans="2:37" ht="14.1" customHeight="1">
      <c r="B60" s="18" t="s">
        <v>268</v>
      </c>
      <c r="C60" s="73" t="s">
        <v>159</v>
      </c>
      <c r="D60" s="73" t="s">
        <v>159</v>
      </c>
      <c r="E60" s="73" t="s">
        <v>159</v>
      </c>
      <c r="F60" s="73" t="s">
        <v>159</v>
      </c>
      <c r="G60" s="73" t="s">
        <v>159</v>
      </c>
      <c r="H60" s="73" t="s">
        <v>159</v>
      </c>
      <c r="I60" s="73" t="s">
        <v>159</v>
      </c>
      <c r="J60" s="73" t="s">
        <v>159</v>
      </c>
      <c r="K60" s="73" t="s">
        <v>159</v>
      </c>
      <c r="L60" s="73" t="s">
        <v>159</v>
      </c>
      <c r="M60" s="73" t="s">
        <v>159</v>
      </c>
      <c r="N60" s="73" t="s">
        <v>159</v>
      </c>
      <c r="O60" s="73">
        <v>6514</v>
      </c>
      <c r="P60" s="137">
        <v>21170</v>
      </c>
      <c r="Q60" s="137">
        <v>19541.759999999998</v>
      </c>
      <c r="R60" s="137">
        <v>17913.12</v>
      </c>
      <c r="S60" s="137">
        <v>16284.48</v>
      </c>
      <c r="T60" s="137">
        <v>14655.84</v>
      </c>
      <c r="U60" s="137">
        <v>13027.2</v>
      </c>
      <c r="V60" s="137">
        <v>11398.56</v>
      </c>
      <c r="W60" s="137">
        <v>9769.92</v>
      </c>
      <c r="X60" s="73">
        <v>8141.28</v>
      </c>
      <c r="Y60" s="73">
        <v>6512.64</v>
      </c>
      <c r="Z60" s="73">
        <v>0</v>
      </c>
      <c r="AA60" s="73">
        <v>115237.349393</v>
      </c>
      <c r="AB60" s="73">
        <v>121872.555221</v>
      </c>
      <c r="AC60" s="73">
        <v>108276.361513</v>
      </c>
      <c r="AD60" s="73">
        <v>111766.90174</v>
      </c>
      <c r="AE60" s="73">
        <v>98423.453911000004</v>
      </c>
      <c r="AF60" s="73">
        <v>107344.84968299999</v>
      </c>
      <c r="AG60" s="73">
        <v>108041.809186</v>
      </c>
      <c r="AH60" s="73">
        <v>113927</v>
      </c>
      <c r="AI60" s="73">
        <v>115071</v>
      </c>
      <c r="AJ60" s="73">
        <v>108471.914636</v>
      </c>
      <c r="AK60" s="73">
        <v>119496.44899999999</v>
      </c>
    </row>
    <row r="61" spans="2:37" ht="14.1" customHeight="1">
      <c r="B61" s="18" t="s">
        <v>351</v>
      </c>
      <c r="C61" s="73">
        <v>257896.809503</v>
      </c>
      <c r="D61" s="73">
        <v>257897</v>
      </c>
      <c r="E61" s="73">
        <v>257897</v>
      </c>
      <c r="F61" s="73">
        <v>257897</v>
      </c>
      <c r="G61" s="73">
        <v>679562.65630799998</v>
      </c>
      <c r="H61" s="73">
        <v>585301</v>
      </c>
      <c r="I61" s="73">
        <v>586453</v>
      </c>
      <c r="J61" s="73">
        <v>659899</v>
      </c>
      <c r="K61" s="73">
        <v>935063.01860800001</v>
      </c>
      <c r="L61" s="73">
        <v>912658.39640099998</v>
      </c>
      <c r="M61" s="73">
        <v>893940.87847800006</v>
      </c>
      <c r="N61" s="73">
        <v>887561</v>
      </c>
      <c r="O61" s="73">
        <v>908844.39369000006</v>
      </c>
      <c r="P61" s="137">
        <v>887612</v>
      </c>
      <c r="Q61" s="137">
        <v>915462.49913300003</v>
      </c>
      <c r="R61" s="137">
        <v>897557.48363599996</v>
      </c>
      <c r="S61" s="137">
        <v>905899.29270600004</v>
      </c>
      <c r="T61" s="137">
        <v>870027.57672799996</v>
      </c>
      <c r="U61" s="137">
        <v>896522.91017100005</v>
      </c>
      <c r="V61" s="137">
        <v>903816.04353599995</v>
      </c>
      <c r="W61" s="137">
        <v>952737.14946800005</v>
      </c>
      <c r="X61" s="73">
        <v>939525.61327700003</v>
      </c>
      <c r="Y61" s="73">
        <v>967587.31270600006</v>
      </c>
      <c r="Z61" s="73">
        <v>1004467.915938</v>
      </c>
      <c r="AA61" s="73">
        <v>931542.25665899995</v>
      </c>
      <c r="AB61" s="73">
        <v>1070367.3728789999</v>
      </c>
      <c r="AC61" s="73">
        <v>1016453.166356</v>
      </c>
      <c r="AD61" s="73">
        <v>1037608.191557</v>
      </c>
      <c r="AE61" s="73">
        <v>958924.11715299997</v>
      </c>
      <c r="AF61" s="73">
        <v>1012575.7144319999</v>
      </c>
      <c r="AG61" s="73">
        <v>1016058.371251</v>
      </c>
      <c r="AH61" s="73">
        <v>1029807</v>
      </c>
      <c r="AI61" s="73">
        <v>986781.74317799998</v>
      </c>
      <c r="AJ61" s="73">
        <v>948626.86487000005</v>
      </c>
      <c r="AK61" s="73">
        <v>1010739.686</v>
      </c>
    </row>
    <row r="62" spans="2:37" ht="14.1" customHeight="1">
      <c r="B62" s="25" t="s">
        <v>352</v>
      </c>
      <c r="C62" s="73">
        <v>42971</v>
      </c>
      <c r="D62" s="73">
        <v>42971</v>
      </c>
      <c r="E62" s="73">
        <v>44566</v>
      </c>
      <c r="F62" s="73">
        <v>44566</v>
      </c>
      <c r="G62" s="73">
        <v>59957.720239000002</v>
      </c>
      <c r="H62" s="73" t="s">
        <v>159</v>
      </c>
      <c r="I62" s="73" t="s">
        <v>159</v>
      </c>
      <c r="J62" s="73">
        <v>74575</v>
      </c>
      <c r="K62" s="73">
        <v>136702.15439499999</v>
      </c>
      <c r="L62" s="73">
        <v>136566.86623000001</v>
      </c>
      <c r="M62" s="73">
        <v>139660.35954199999</v>
      </c>
      <c r="N62" s="73">
        <v>144744</v>
      </c>
      <c r="O62" s="73">
        <v>177932.61580900001</v>
      </c>
      <c r="P62" s="137">
        <v>177970</v>
      </c>
      <c r="Q62" s="137">
        <v>159067.54068899999</v>
      </c>
      <c r="R62" s="137">
        <v>147691.63926299999</v>
      </c>
      <c r="S62" s="137">
        <v>131514.60252399999</v>
      </c>
      <c r="T62" s="137">
        <v>128135.35408200001</v>
      </c>
      <c r="U62" s="137">
        <v>134294.33292700001</v>
      </c>
      <c r="V62" s="137">
        <v>131006.645817</v>
      </c>
      <c r="W62" s="137">
        <v>91545.982405999996</v>
      </c>
      <c r="X62" s="73">
        <v>88405.770722000001</v>
      </c>
      <c r="Y62" s="73">
        <v>45185.771729</v>
      </c>
      <c r="Z62" s="73">
        <v>47053.752222000003</v>
      </c>
      <c r="AA62" s="73">
        <v>7559.8111609999996</v>
      </c>
      <c r="AB62" s="73">
        <v>7168.7457469999999</v>
      </c>
      <c r="AC62" s="73">
        <v>6952.3299340000003</v>
      </c>
      <c r="AD62" s="73">
        <v>6928.1204280000002</v>
      </c>
      <c r="AE62" s="73">
        <v>2188.7358479999998</v>
      </c>
      <c r="AF62" s="73">
        <v>2660.7984590000001</v>
      </c>
      <c r="AG62" s="73">
        <v>2784.556149</v>
      </c>
      <c r="AH62" s="73">
        <v>2876</v>
      </c>
      <c r="AI62" s="73">
        <v>2584.8488790000001</v>
      </c>
      <c r="AJ62" s="73">
        <v>604.08180100000004</v>
      </c>
      <c r="AK62" s="73">
        <v>604.08199999999999</v>
      </c>
    </row>
    <row r="63" spans="2:37" s="251" customFormat="1" ht="14.1" customHeight="1">
      <c r="B63" s="249" t="s">
        <v>52</v>
      </c>
      <c r="C63" s="250" t="s">
        <v>159</v>
      </c>
      <c r="D63" s="250" t="s">
        <v>159</v>
      </c>
      <c r="E63" s="250" t="s">
        <v>159</v>
      </c>
      <c r="F63" s="250" t="s">
        <v>159</v>
      </c>
      <c r="G63" s="250" t="s">
        <v>159</v>
      </c>
      <c r="H63" s="250">
        <v>2201</v>
      </c>
      <c r="I63" s="250">
        <v>1264</v>
      </c>
      <c r="J63" s="250">
        <v>2700</v>
      </c>
      <c r="K63" s="250" t="s">
        <v>159</v>
      </c>
      <c r="L63" s="250" t="s">
        <v>159</v>
      </c>
      <c r="M63" s="250" t="s">
        <v>159</v>
      </c>
      <c r="N63" s="250" t="s">
        <v>159</v>
      </c>
      <c r="O63" s="250" t="s">
        <v>159</v>
      </c>
      <c r="P63" s="250" t="s">
        <v>159</v>
      </c>
      <c r="Q63" s="250" t="s">
        <v>159</v>
      </c>
      <c r="R63" s="250" t="s">
        <v>159</v>
      </c>
      <c r="S63" s="250" t="s">
        <v>159</v>
      </c>
      <c r="T63" s="250" t="s">
        <v>159</v>
      </c>
      <c r="U63" s="250" t="s">
        <v>159</v>
      </c>
      <c r="V63" s="250" t="s">
        <v>159</v>
      </c>
      <c r="W63" s="250" t="s">
        <v>159</v>
      </c>
      <c r="X63" s="250" t="s">
        <v>159</v>
      </c>
      <c r="Y63" s="250" t="s">
        <v>159</v>
      </c>
      <c r="Z63" s="250" t="s">
        <v>159</v>
      </c>
      <c r="AA63" s="250" t="s">
        <v>159</v>
      </c>
      <c r="AB63" s="250" t="s">
        <v>159</v>
      </c>
      <c r="AC63" s="250" t="s">
        <v>159</v>
      </c>
      <c r="AD63" s="250" t="s">
        <v>159</v>
      </c>
      <c r="AE63" s="250" t="s">
        <v>159</v>
      </c>
      <c r="AF63" s="250" t="s">
        <v>159</v>
      </c>
      <c r="AG63" s="250" t="s">
        <v>159</v>
      </c>
      <c r="AH63" s="250" t="s">
        <v>159</v>
      </c>
      <c r="AI63" s="250" t="s">
        <v>159</v>
      </c>
      <c r="AJ63" s="250" t="s">
        <v>159</v>
      </c>
      <c r="AK63" s="73">
        <v>0</v>
      </c>
    </row>
    <row r="64" spans="2:37" ht="14.1" customHeight="1">
      <c r="B64" s="18"/>
      <c r="C64" s="73"/>
      <c r="D64" s="73"/>
      <c r="E64" s="73"/>
      <c r="F64" s="73"/>
      <c r="G64" s="73"/>
      <c r="H64" s="73"/>
      <c r="I64" s="73"/>
      <c r="J64" s="73"/>
      <c r="K64" s="73"/>
      <c r="L64" s="73"/>
      <c r="M64" s="73"/>
      <c r="N64" s="73"/>
      <c r="O64" s="73" t="s">
        <v>44</v>
      </c>
      <c r="P64" s="137"/>
      <c r="Q64" s="137"/>
      <c r="R64" s="137"/>
      <c r="S64" s="137" t="s">
        <v>44</v>
      </c>
      <c r="T64" s="137"/>
      <c r="U64" s="137"/>
      <c r="V64" s="137"/>
      <c r="W64" s="137" t="s">
        <v>44</v>
      </c>
      <c r="X64" s="73" t="s">
        <v>44</v>
      </c>
      <c r="Y64" s="73"/>
      <c r="Z64" s="73"/>
      <c r="AA64" s="73"/>
      <c r="AB64" s="73"/>
      <c r="AC64" s="73"/>
      <c r="AD64" s="73"/>
      <c r="AE64" s="73"/>
      <c r="AF64" s="73"/>
      <c r="AG64" s="73"/>
      <c r="AH64" s="73"/>
      <c r="AI64" s="73"/>
      <c r="AJ64" s="73"/>
    </row>
    <row r="65" spans="2:37" ht="14.1" customHeight="1">
      <c r="B65" s="1" t="s">
        <v>54</v>
      </c>
      <c r="C65" s="74">
        <v>6197869.6567520006</v>
      </c>
      <c r="D65" s="74">
        <f>SUM(D51:D62)</f>
        <v>6219998</v>
      </c>
      <c r="E65" s="74">
        <f>SUM(E51:E62)</f>
        <v>6294218</v>
      </c>
      <c r="F65" s="74">
        <f>SUM(F51:F62)</f>
        <v>6355668</v>
      </c>
      <c r="G65" s="74">
        <f>SUM(G51:G64)</f>
        <v>8427404.5621659998</v>
      </c>
      <c r="H65" s="74">
        <f>SUM(H51:H64)</f>
        <v>8272200</v>
      </c>
      <c r="I65" s="74">
        <f>SUM(I51:I64)</f>
        <v>8244275</v>
      </c>
      <c r="J65" s="139">
        <f t="shared" ref="J65:T65" si="4">SUM(J51:J64)</f>
        <v>8844913</v>
      </c>
      <c r="K65" s="139">
        <f t="shared" si="4"/>
        <v>8764795.2141029984</v>
      </c>
      <c r="L65" s="139">
        <f t="shared" si="4"/>
        <v>8465067.4994150009</v>
      </c>
      <c r="M65" s="139">
        <f t="shared" si="4"/>
        <v>8382416.5400099996</v>
      </c>
      <c r="N65" s="139">
        <f t="shared" si="4"/>
        <v>8326988</v>
      </c>
      <c r="O65" s="139">
        <f t="shared" si="4"/>
        <v>8634209.822710488</v>
      </c>
      <c r="P65" s="139">
        <f t="shared" si="4"/>
        <v>8499252.5760019999</v>
      </c>
      <c r="Q65" s="139">
        <f t="shared" si="4"/>
        <v>8691221.1139700003</v>
      </c>
      <c r="R65" s="139">
        <f t="shared" si="4"/>
        <v>8634205.0106710009</v>
      </c>
      <c r="S65" s="139">
        <f t="shared" si="4"/>
        <v>8825858.9125689995</v>
      </c>
      <c r="T65" s="139">
        <f t="shared" si="4"/>
        <v>8667410.5859889984</v>
      </c>
      <c r="U65" s="139">
        <f t="shared" ref="U65:AG65" si="5">SUM(U51:U64)</f>
        <v>8803452.2294640001</v>
      </c>
      <c r="V65" s="139">
        <f t="shared" si="5"/>
        <v>8914292.5620230008</v>
      </c>
      <c r="W65" s="139">
        <f t="shared" si="5"/>
        <v>9310428.6181099992</v>
      </c>
      <c r="X65" s="139">
        <f t="shared" si="5"/>
        <v>9311851.4499779996</v>
      </c>
      <c r="Y65" s="139">
        <f t="shared" si="5"/>
        <v>11009496.022481</v>
      </c>
      <c r="Z65" s="139">
        <f t="shared" si="5"/>
        <v>10546788.2019</v>
      </c>
      <c r="AA65" s="139">
        <f t="shared" si="5"/>
        <v>9622481.367149001</v>
      </c>
      <c r="AB65" s="139">
        <f t="shared" si="5"/>
        <v>10226650.967626002</v>
      </c>
      <c r="AC65" s="139">
        <f t="shared" si="5"/>
        <v>10095047.199781001</v>
      </c>
      <c r="AD65" s="139">
        <f t="shared" si="5"/>
        <v>10593708.369779</v>
      </c>
      <c r="AE65" s="139">
        <f t="shared" si="5"/>
        <v>10384065.455757001</v>
      </c>
      <c r="AF65" s="139">
        <f t="shared" si="5"/>
        <v>10756568.745799001</v>
      </c>
      <c r="AG65" s="139">
        <f t="shared" si="5"/>
        <v>11003379.619676</v>
      </c>
      <c r="AH65" s="139">
        <f>SUM(AH51:AH64)</f>
        <v>11486029</v>
      </c>
      <c r="AI65" s="139">
        <f>SUM(AI51:AI64)</f>
        <v>11346541.871933</v>
      </c>
      <c r="AJ65" s="139">
        <f>+SUM(AJ51:AJ62)</f>
        <v>11485027.006563</v>
      </c>
      <c r="AK65" s="139">
        <f>+SUM(AK51:AK63)</f>
        <v>12142931.302999998</v>
      </c>
    </row>
    <row r="66" spans="2:37" ht="14.1" customHeight="1">
      <c r="B66" s="18"/>
      <c r="C66" s="75"/>
      <c r="D66" s="75"/>
      <c r="E66" s="75"/>
      <c r="F66" s="75"/>
      <c r="G66" s="75"/>
      <c r="H66" s="75"/>
      <c r="I66" s="75"/>
      <c r="J66" s="75"/>
      <c r="K66" s="75"/>
      <c r="L66" s="75"/>
      <c r="M66" s="75"/>
      <c r="N66" s="75"/>
      <c r="O66" s="75" t="s">
        <v>44</v>
      </c>
      <c r="P66" s="139"/>
      <c r="Q66" s="139"/>
      <c r="R66" s="139"/>
      <c r="S66" s="139" t="s">
        <v>44</v>
      </c>
      <c r="T66" s="139"/>
      <c r="U66" s="139"/>
      <c r="V66" s="139"/>
      <c r="W66" s="139"/>
      <c r="X66" s="139"/>
      <c r="Y66" s="139"/>
      <c r="Z66" s="139"/>
      <c r="AA66" s="139"/>
      <c r="AB66" s="139"/>
      <c r="AC66" s="139"/>
      <c r="AD66" s="139"/>
      <c r="AE66" s="139"/>
      <c r="AF66" s="139"/>
      <c r="AG66" s="139"/>
      <c r="AH66" s="139"/>
      <c r="AI66" s="139"/>
    </row>
    <row r="67" spans="2:37" ht="14.1" customHeight="1">
      <c r="B67" s="18"/>
      <c r="C67" s="75"/>
      <c r="D67" s="75"/>
      <c r="E67" s="75"/>
      <c r="F67" s="75"/>
      <c r="G67" s="75"/>
      <c r="H67" s="75"/>
      <c r="I67" s="75"/>
      <c r="J67" s="75"/>
      <c r="K67" s="75"/>
      <c r="L67" s="75"/>
      <c r="M67" s="75"/>
      <c r="N67" s="75"/>
      <c r="O67" s="75"/>
      <c r="P67" s="139"/>
      <c r="Q67" s="139"/>
      <c r="R67" s="139"/>
      <c r="S67" s="139"/>
      <c r="T67" s="139"/>
      <c r="U67" s="139"/>
      <c r="V67" s="139"/>
      <c r="W67" s="139"/>
      <c r="X67" s="139"/>
      <c r="Y67" s="139"/>
      <c r="Z67" s="139"/>
      <c r="AA67" s="139"/>
      <c r="AB67" s="139"/>
      <c r="AC67" s="139"/>
      <c r="AD67" s="139"/>
      <c r="AE67" s="139"/>
      <c r="AF67" s="139"/>
      <c r="AG67" s="139"/>
      <c r="AH67" s="139"/>
      <c r="AI67" s="139"/>
    </row>
    <row r="68" spans="2:37" ht="14.1" customHeight="1">
      <c r="B68" s="18"/>
      <c r="C68" s="75"/>
      <c r="D68" s="75"/>
      <c r="E68" s="75"/>
      <c r="F68" s="75"/>
      <c r="G68" s="75"/>
      <c r="H68" s="75"/>
      <c r="I68" s="75"/>
      <c r="J68" s="75"/>
      <c r="K68" s="75"/>
      <c r="L68" s="75"/>
      <c r="M68" s="75"/>
      <c r="N68" s="75"/>
      <c r="O68" s="75"/>
      <c r="P68" s="139"/>
      <c r="Q68" s="139"/>
      <c r="R68" s="139"/>
      <c r="S68" s="139"/>
      <c r="T68" s="139"/>
      <c r="U68" s="139"/>
      <c r="V68" s="139"/>
      <c r="W68" s="139"/>
      <c r="X68" s="139"/>
      <c r="Y68" s="139"/>
      <c r="Z68" s="139"/>
      <c r="AA68" s="139"/>
      <c r="AB68" s="139"/>
      <c r="AC68" s="139"/>
      <c r="AD68" s="139"/>
      <c r="AE68" s="139"/>
      <c r="AF68" s="139"/>
      <c r="AG68" s="139"/>
      <c r="AH68" s="139"/>
      <c r="AI68" s="139"/>
    </row>
    <row r="69" spans="2:37" ht="14.1" customHeight="1">
      <c r="B69" s="1" t="s">
        <v>273</v>
      </c>
      <c r="C69" s="75"/>
      <c r="D69" s="75"/>
      <c r="E69" s="75"/>
      <c r="F69" s="75"/>
      <c r="G69" s="75"/>
      <c r="H69" s="75"/>
      <c r="I69" s="75"/>
      <c r="J69" s="75"/>
      <c r="K69" s="75"/>
      <c r="L69" s="75"/>
      <c r="M69" s="75"/>
      <c r="N69" s="75"/>
      <c r="O69" s="75"/>
      <c r="P69" s="139"/>
      <c r="Q69" s="139"/>
      <c r="R69" s="139"/>
      <c r="S69" s="139" t="s">
        <v>44</v>
      </c>
      <c r="T69" s="139"/>
      <c r="U69" s="139"/>
      <c r="V69" s="139"/>
      <c r="W69" s="139"/>
      <c r="X69" s="139"/>
      <c r="Y69" s="139"/>
      <c r="Z69" s="139"/>
      <c r="AA69" s="139"/>
      <c r="AB69" s="139"/>
      <c r="AC69" s="139"/>
      <c r="AD69" s="139"/>
      <c r="AE69" s="139"/>
      <c r="AF69" s="139"/>
      <c r="AG69" s="139"/>
      <c r="AH69" s="139"/>
      <c r="AI69" s="139"/>
    </row>
    <row r="70" spans="2:37" ht="14.1" customHeight="1">
      <c r="B70" s="18" t="s">
        <v>105</v>
      </c>
      <c r="C70" s="73">
        <v>200684.4</v>
      </c>
      <c r="D70" s="73">
        <v>195700</v>
      </c>
      <c r="E70" s="73">
        <v>173265</v>
      </c>
      <c r="F70" s="73">
        <v>451474</v>
      </c>
      <c r="G70" s="73">
        <v>293746.76407500001</v>
      </c>
      <c r="H70" s="73">
        <v>350579</v>
      </c>
      <c r="I70" s="73">
        <v>217836</v>
      </c>
      <c r="J70" s="73">
        <v>286915</v>
      </c>
      <c r="K70" s="73">
        <v>431914.13526700001</v>
      </c>
      <c r="L70" s="73">
        <v>400729.72459499998</v>
      </c>
      <c r="M70" s="73">
        <v>233631.74661</v>
      </c>
      <c r="N70" s="73">
        <v>282218</v>
      </c>
      <c r="O70" s="73">
        <v>162239.604383</v>
      </c>
      <c r="P70" s="137">
        <v>437892</v>
      </c>
      <c r="Q70" s="137">
        <v>284860.07214900001</v>
      </c>
      <c r="R70" s="137">
        <v>279445.912877</v>
      </c>
      <c r="S70" s="137">
        <v>174624.49168000001</v>
      </c>
      <c r="T70" s="137">
        <v>214551.90422899998</v>
      </c>
      <c r="U70" s="137">
        <v>193772.72993599999</v>
      </c>
      <c r="V70" s="137">
        <v>285120.13761999999</v>
      </c>
      <c r="W70" s="137">
        <v>444621.68786900002</v>
      </c>
      <c r="X70" s="137">
        <v>254145.96542800002</v>
      </c>
      <c r="Y70" s="137">
        <v>447875.379418</v>
      </c>
      <c r="Z70" s="137">
        <v>506365.22323900001</v>
      </c>
      <c r="AA70" s="137">
        <v>384672.03404300002</v>
      </c>
      <c r="AB70" s="137">
        <v>505808.808188</v>
      </c>
      <c r="AC70" s="137">
        <v>576094.32112600002</v>
      </c>
      <c r="AD70" s="137">
        <v>372786.178074</v>
      </c>
      <c r="AE70" s="137">
        <v>399547.20482400001</v>
      </c>
      <c r="AF70" s="137">
        <v>283111.86236899998</v>
      </c>
      <c r="AG70" s="137">
        <v>236749.18861899999</v>
      </c>
      <c r="AH70" s="137">
        <v>261411</v>
      </c>
      <c r="AI70" s="137">
        <v>252799.34766999999</v>
      </c>
      <c r="AJ70" s="137">
        <v>288213.42218499997</v>
      </c>
      <c r="AK70" s="137">
        <v>160085.304</v>
      </c>
    </row>
    <row r="71" spans="2:37" ht="14.1" customHeight="1">
      <c r="B71" s="249" t="s">
        <v>244</v>
      </c>
      <c r="C71" s="73">
        <v>697076</v>
      </c>
      <c r="D71" s="73">
        <v>714349</v>
      </c>
      <c r="E71" s="73">
        <v>647481</v>
      </c>
      <c r="F71" s="73">
        <v>491796</v>
      </c>
      <c r="G71" s="73">
        <v>295753.06122700003</v>
      </c>
      <c r="H71" s="73">
        <v>185656</v>
      </c>
      <c r="I71" s="73">
        <v>43367</v>
      </c>
      <c r="J71" s="73">
        <v>78046</v>
      </c>
      <c r="K71" s="73">
        <v>168584.24976599999</v>
      </c>
      <c r="L71" s="73">
        <v>161376.32792499999</v>
      </c>
      <c r="M71" s="73">
        <v>338777.33365799999</v>
      </c>
      <c r="N71" s="73">
        <v>325305</v>
      </c>
      <c r="O71" s="73">
        <v>203017.83087100001</v>
      </c>
      <c r="P71" s="250" t="s">
        <v>159</v>
      </c>
      <c r="Q71" s="250" t="s">
        <v>159</v>
      </c>
      <c r="R71" s="250" t="s">
        <v>159</v>
      </c>
      <c r="S71" s="250" t="s">
        <v>159</v>
      </c>
      <c r="T71" s="250" t="s">
        <v>159</v>
      </c>
      <c r="U71" s="250" t="s">
        <v>159</v>
      </c>
      <c r="V71" s="250" t="s">
        <v>159</v>
      </c>
      <c r="W71" s="250" t="s">
        <v>159</v>
      </c>
      <c r="X71" s="250" t="s">
        <v>159</v>
      </c>
      <c r="Y71" s="250" t="s">
        <v>159</v>
      </c>
      <c r="Z71" s="250" t="s">
        <v>159</v>
      </c>
      <c r="AA71" s="250" t="s">
        <v>159</v>
      </c>
      <c r="AB71" s="250" t="s">
        <v>159</v>
      </c>
      <c r="AC71" s="250" t="s">
        <v>159</v>
      </c>
      <c r="AD71" s="250" t="s">
        <v>159</v>
      </c>
      <c r="AE71" s="250" t="s">
        <v>159</v>
      </c>
      <c r="AF71" s="250" t="s">
        <v>159</v>
      </c>
      <c r="AG71" s="250" t="s">
        <v>159</v>
      </c>
      <c r="AH71" s="250" t="s">
        <v>159</v>
      </c>
      <c r="AI71" s="250" t="s">
        <v>159</v>
      </c>
      <c r="AJ71" s="250" t="s">
        <v>159</v>
      </c>
      <c r="AK71" s="250">
        <v>0</v>
      </c>
    </row>
    <row r="72" spans="2:37" ht="14.1" customHeight="1">
      <c r="B72" s="18" t="s">
        <v>685</v>
      </c>
      <c r="C72" s="250" t="s">
        <v>159</v>
      </c>
      <c r="D72" s="250" t="s">
        <v>159</v>
      </c>
      <c r="E72" s="250" t="s">
        <v>159</v>
      </c>
      <c r="F72" s="250" t="s">
        <v>159</v>
      </c>
      <c r="G72" s="250" t="s">
        <v>159</v>
      </c>
      <c r="H72" s="250" t="s">
        <v>159</v>
      </c>
      <c r="I72" s="250" t="s">
        <v>159</v>
      </c>
      <c r="J72" s="250" t="s">
        <v>159</v>
      </c>
      <c r="K72" s="250" t="s">
        <v>159</v>
      </c>
      <c r="L72" s="250" t="s">
        <v>159</v>
      </c>
      <c r="M72" s="250" t="s">
        <v>159</v>
      </c>
      <c r="N72" s="250" t="s">
        <v>159</v>
      </c>
      <c r="O72" s="250" t="s">
        <v>159</v>
      </c>
      <c r="P72" s="250" t="s">
        <v>159</v>
      </c>
      <c r="Q72" s="250" t="s">
        <v>159</v>
      </c>
      <c r="R72" s="250" t="s">
        <v>159</v>
      </c>
      <c r="S72" s="250" t="s">
        <v>159</v>
      </c>
      <c r="T72" s="250" t="s">
        <v>159</v>
      </c>
      <c r="U72" s="250" t="s">
        <v>159</v>
      </c>
      <c r="V72" s="250" t="s">
        <v>159</v>
      </c>
      <c r="W72" s="250" t="s">
        <v>159</v>
      </c>
      <c r="X72" s="250" t="s">
        <v>159</v>
      </c>
      <c r="Y72" s="250" t="s">
        <v>159</v>
      </c>
      <c r="Z72" s="250" t="s">
        <v>159</v>
      </c>
      <c r="AA72" s="250" t="s">
        <v>159</v>
      </c>
      <c r="AB72" s="250" t="s">
        <v>159</v>
      </c>
      <c r="AC72" s="250" t="s">
        <v>159</v>
      </c>
      <c r="AD72" s="250" t="s">
        <v>159</v>
      </c>
      <c r="AE72" s="250" t="s">
        <v>159</v>
      </c>
      <c r="AF72" s="73">
        <v>6560.2612950000002</v>
      </c>
      <c r="AG72" s="73">
        <v>8945.4750719999993</v>
      </c>
      <c r="AH72" s="73">
        <v>11120</v>
      </c>
      <c r="AI72" s="73">
        <v>1591.8509750000001</v>
      </c>
      <c r="AJ72" s="73">
        <v>74179.006041000001</v>
      </c>
      <c r="AK72" s="73">
        <v>32.299999999999997</v>
      </c>
    </row>
    <row r="73" spans="2:37" ht="14.1" customHeight="1">
      <c r="B73" s="18" t="s">
        <v>268</v>
      </c>
      <c r="C73" s="73">
        <v>38367.5</v>
      </c>
      <c r="D73" s="73">
        <v>31173</v>
      </c>
      <c r="E73" s="73">
        <v>50118</v>
      </c>
      <c r="F73" s="73">
        <v>13820</v>
      </c>
      <c r="G73" s="73">
        <v>93860.324456000002</v>
      </c>
      <c r="H73" s="73">
        <v>45341</v>
      </c>
      <c r="I73" s="73">
        <v>35170</v>
      </c>
      <c r="J73" s="73">
        <v>25669</v>
      </c>
      <c r="K73" s="73">
        <v>118918.244379</v>
      </c>
      <c r="L73" s="73">
        <v>136690.468219</v>
      </c>
      <c r="M73" s="73">
        <v>93209.579557000005</v>
      </c>
      <c r="N73" s="73">
        <v>74941.571068999998</v>
      </c>
      <c r="O73" s="73">
        <v>57837.273516000001</v>
      </c>
      <c r="P73" s="137">
        <v>30849</v>
      </c>
      <c r="Q73" s="137">
        <v>17323.073154000002</v>
      </c>
      <c r="R73" s="137">
        <v>73745.731786999997</v>
      </c>
      <c r="S73" s="137">
        <v>95564.711637999993</v>
      </c>
      <c r="T73" s="137">
        <v>54399.022914000001</v>
      </c>
      <c r="U73" s="137">
        <v>53344.876268</v>
      </c>
      <c r="V73" s="137">
        <v>46578.083315999997</v>
      </c>
      <c r="W73" s="137">
        <v>79619.895892999994</v>
      </c>
      <c r="X73" s="137">
        <v>90784.966</v>
      </c>
      <c r="Y73" s="137">
        <v>81265.395923000004</v>
      </c>
      <c r="Z73" s="137">
        <v>47246.470719999998</v>
      </c>
      <c r="AA73" s="137">
        <v>42191.032832999997</v>
      </c>
      <c r="AB73" s="137">
        <v>36339.972794000001</v>
      </c>
      <c r="AC73" s="137">
        <v>58823.339586000002</v>
      </c>
      <c r="AD73" s="137">
        <v>68142.146859999993</v>
      </c>
      <c r="AE73" s="137">
        <v>59137.182973000003</v>
      </c>
      <c r="AF73" s="137">
        <v>56429.676371000001</v>
      </c>
      <c r="AG73" s="137">
        <v>35141.084627999997</v>
      </c>
      <c r="AH73" s="137">
        <v>23549</v>
      </c>
      <c r="AI73" s="73">
        <v>55189</v>
      </c>
      <c r="AJ73" s="73">
        <v>32.299588999999997</v>
      </c>
      <c r="AK73" s="73">
        <v>72209.001000000004</v>
      </c>
    </row>
    <row r="74" spans="2:37" ht="14.1" customHeight="1">
      <c r="B74" s="18" t="s">
        <v>106</v>
      </c>
      <c r="C74" s="73">
        <v>241368</v>
      </c>
      <c r="D74" s="73">
        <v>308972</v>
      </c>
      <c r="E74" s="73">
        <v>411360</v>
      </c>
      <c r="F74" s="73">
        <v>295314</v>
      </c>
      <c r="G74" s="73">
        <v>368962</v>
      </c>
      <c r="H74" s="73">
        <v>486209</v>
      </c>
      <c r="I74" s="73">
        <v>529676</v>
      </c>
      <c r="J74" s="73">
        <v>553934</v>
      </c>
      <c r="K74" s="73">
        <v>609099.43581000005</v>
      </c>
      <c r="L74" s="73">
        <v>882718.27753299999</v>
      </c>
      <c r="M74" s="73">
        <v>760804.68262600002</v>
      </c>
      <c r="N74" s="73">
        <v>631846</v>
      </c>
      <c r="O74" s="73">
        <v>499210.43415900995</v>
      </c>
      <c r="P74" s="137">
        <v>633353</v>
      </c>
      <c r="Q74" s="137">
        <v>497249</v>
      </c>
      <c r="R74" s="137">
        <v>515520.190596</v>
      </c>
      <c r="S74" s="137">
        <v>516035.57721243991</v>
      </c>
      <c r="T74" s="137">
        <v>502814.86723999999</v>
      </c>
      <c r="U74" s="137">
        <v>524849.92769799998</v>
      </c>
      <c r="V74" s="137">
        <v>515233.35180900001</v>
      </c>
      <c r="W74" s="137">
        <v>526120.13315400004</v>
      </c>
      <c r="X74" s="137">
        <v>485831.04434700002</v>
      </c>
      <c r="Y74" s="137">
        <v>583353.95062999998</v>
      </c>
      <c r="Z74" s="137">
        <v>658934.19593299995</v>
      </c>
      <c r="AA74" s="137">
        <v>1123732.526637</v>
      </c>
      <c r="AB74" s="137">
        <v>1212757.280976</v>
      </c>
      <c r="AC74" s="137">
        <v>1091370.5648949998</v>
      </c>
      <c r="AD74" s="137">
        <v>715010.16149499989</v>
      </c>
      <c r="AE74" s="137">
        <v>599487.20338800002</v>
      </c>
      <c r="AF74" s="137">
        <v>746317.86789148243</v>
      </c>
      <c r="AG74" s="137">
        <v>709535.77000199992</v>
      </c>
      <c r="AH74" s="137">
        <v>712273</v>
      </c>
      <c r="AI74" s="137">
        <v>829557</v>
      </c>
      <c r="AJ74" s="137">
        <v>795339.70747500006</v>
      </c>
      <c r="AK74" s="137">
        <v>796482.66299999994</v>
      </c>
    </row>
    <row r="75" spans="2:37" ht="14.1" customHeight="1">
      <c r="B75" s="18" t="s">
        <v>353</v>
      </c>
      <c r="C75" s="73">
        <v>33855</v>
      </c>
      <c r="D75" s="73">
        <v>45200</v>
      </c>
      <c r="E75" s="73">
        <v>68316</v>
      </c>
      <c r="F75" s="73">
        <v>71854</v>
      </c>
      <c r="G75" s="73">
        <v>72317.648866000003</v>
      </c>
      <c r="H75" s="73">
        <v>102118</v>
      </c>
      <c r="I75" s="73">
        <v>119839</v>
      </c>
      <c r="J75" s="73">
        <v>124423</v>
      </c>
      <c r="K75" s="73">
        <v>156275.13605299999</v>
      </c>
      <c r="L75" s="73">
        <v>153157.374102</v>
      </c>
      <c r="M75" s="73">
        <v>133948.33947199999</v>
      </c>
      <c r="N75" s="73">
        <v>139882.314962</v>
      </c>
      <c r="O75" s="73">
        <v>137908</v>
      </c>
      <c r="P75" s="137">
        <v>152080</v>
      </c>
      <c r="Q75" s="137">
        <v>182682.64271300001</v>
      </c>
      <c r="R75" s="137">
        <v>185311.39490399999</v>
      </c>
      <c r="S75" s="137">
        <v>174924.493311</v>
      </c>
      <c r="T75" s="137">
        <v>206605.14097899999</v>
      </c>
      <c r="U75" s="137">
        <v>240529.59159500001</v>
      </c>
      <c r="V75" s="137">
        <v>224486.831232</v>
      </c>
      <c r="W75" s="137">
        <v>255699.90656900001</v>
      </c>
      <c r="X75" s="137">
        <v>273111.50927899999</v>
      </c>
      <c r="Y75" s="137">
        <v>311873.63045</v>
      </c>
      <c r="Z75" s="137">
        <v>226245.71462899999</v>
      </c>
      <c r="AA75" s="137">
        <v>180210.71637800001</v>
      </c>
      <c r="AB75" s="137">
        <v>221393.09013500001</v>
      </c>
      <c r="AC75" s="137">
        <v>229634.210719</v>
      </c>
      <c r="AD75" s="137">
        <v>265853.19010900002</v>
      </c>
      <c r="AE75" s="137">
        <v>167135.92868300001</v>
      </c>
      <c r="AF75" s="137">
        <v>178356.972228</v>
      </c>
      <c r="AG75" s="137">
        <v>147738.12940899999</v>
      </c>
      <c r="AH75" s="137">
        <v>153827</v>
      </c>
      <c r="AI75" s="137">
        <v>133104.31508900001</v>
      </c>
      <c r="AJ75" s="137">
        <v>139821.328771</v>
      </c>
      <c r="AK75" s="137">
        <v>168652.23199999999</v>
      </c>
    </row>
    <row r="76" spans="2:37" ht="14.1" customHeight="1">
      <c r="B76" s="18" t="s">
        <v>354</v>
      </c>
      <c r="C76" s="73">
        <v>13330</v>
      </c>
      <c r="D76" s="73">
        <v>30731</v>
      </c>
      <c r="E76" s="73">
        <v>116328</v>
      </c>
      <c r="F76" s="73">
        <v>129795</v>
      </c>
      <c r="G76" s="73">
        <v>29674</v>
      </c>
      <c r="H76" s="73">
        <v>49413</v>
      </c>
      <c r="I76" s="73">
        <v>180490</v>
      </c>
      <c r="J76" s="73">
        <v>199427</v>
      </c>
      <c r="K76" s="73">
        <v>58915.287859999997</v>
      </c>
      <c r="L76" s="73">
        <v>97275.875830999998</v>
      </c>
      <c r="M76" s="73">
        <v>194561.600706</v>
      </c>
      <c r="N76" s="73">
        <v>189356</v>
      </c>
      <c r="O76" s="73">
        <v>49340</v>
      </c>
      <c r="P76" s="137">
        <v>78307</v>
      </c>
      <c r="Q76" s="137">
        <v>162902.68833599999</v>
      </c>
      <c r="R76" s="137">
        <v>182776.52632500001</v>
      </c>
      <c r="S76" s="137">
        <v>67964.868109999996</v>
      </c>
      <c r="T76" s="137">
        <v>84941.148505000005</v>
      </c>
      <c r="U76" s="137">
        <v>157637.731547</v>
      </c>
      <c r="V76" s="137">
        <v>181015.74002</v>
      </c>
      <c r="W76" s="137">
        <v>75360.636551999996</v>
      </c>
      <c r="X76" s="137">
        <v>95913.454452000005</v>
      </c>
      <c r="Y76" s="137">
        <v>155867.83547799999</v>
      </c>
      <c r="Z76" s="137">
        <v>161424.62130299999</v>
      </c>
      <c r="AA76" s="137">
        <v>25054.135667999999</v>
      </c>
      <c r="AB76" s="137">
        <v>59051.965736999999</v>
      </c>
      <c r="AC76" s="137">
        <v>96345.352654999995</v>
      </c>
      <c r="AD76" s="137">
        <v>123651.83581400001</v>
      </c>
      <c r="AE76" s="137">
        <v>24079.473662</v>
      </c>
      <c r="AF76" s="137">
        <v>59026.648480000003</v>
      </c>
      <c r="AG76" s="137">
        <v>108427.719604</v>
      </c>
      <c r="AH76" s="137">
        <v>152460</v>
      </c>
      <c r="AI76" s="137">
        <v>47416.467079000002</v>
      </c>
      <c r="AJ76" s="137">
        <v>87315.692261000004</v>
      </c>
      <c r="AK76" s="137">
        <v>129170.96400000001</v>
      </c>
    </row>
    <row r="77" spans="2:37" ht="14.1" customHeight="1">
      <c r="B77" s="18" t="s">
        <v>661</v>
      </c>
      <c r="C77" s="250" t="s">
        <v>159</v>
      </c>
      <c r="D77" s="250" t="s">
        <v>159</v>
      </c>
      <c r="E77" s="250" t="s">
        <v>159</v>
      </c>
      <c r="F77" s="250" t="s">
        <v>159</v>
      </c>
      <c r="G77" s="250" t="s">
        <v>159</v>
      </c>
      <c r="H77" s="250" t="s">
        <v>159</v>
      </c>
      <c r="I77" s="250" t="s">
        <v>159</v>
      </c>
      <c r="J77" s="250" t="s">
        <v>159</v>
      </c>
      <c r="K77" s="250" t="s">
        <v>159</v>
      </c>
      <c r="L77" s="250" t="s">
        <v>159</v>
      </c>
      <c r="M77" s="250" t="s">
        <v>159</v>
      </c>
      <c r="N77" s="250" t="s">
        <v>159</v>
      </c>
      <c r="O77" s="250" t="s">
        <v>159</v>
      </c>
      <c r="P77" s="250" t="s">
        <v>159</v>
      </c>
      <c r="Q77" s="250" t="s">
        <v>159</v>
      </c>
      <c r="R77" s="250" t="s">
        <v>159</v>
      </c>
      <c r="S77" s="250" t="s">
        <v>159</v>
      </c>
      <c r="T77" s="250" t="s">
        <v>159</v>
      </c>
      <c r="U77" s="250" t="s">
        <v>159</v>
      </c>
      <c r="V77" s="250" t="s">
        <v>159</v>
      </c>
      <c r="W77" s="250" t="s">
        <v>159</v>
      </c>
      <c r="X77" s="250" t="s">
        <v>159</v>
      </c>
      <c r="Y77" s="250" t="s">
        <v>159</v>
      </c>
      <c r="Z77" s="250" t="s">
        <v>159</v>
      </c>
      <c r="AA77" s="250" t="s">
        <v>159</v>
      </c>
      <c r="AB77" s="250" t="s">
        <v>159</v>
      </c>
      <c r="AC77" s="250" t="s">
        <v>159</v>
      </c>
      <c r="AD77" s="250" t="s">
        <v>159</v>
      </c>
      <c r="AE77" s="137">
        <v>177207.05678499999</v>
      </c>
      <c r="AF77" s="137">
        <v>186859.18949600001</v>
      </c>
      <c r="AG77" s="137">
        <v>177542.84898499999</v>
      </c>
      <c r="AH77" s="137">
        <v>173444</v>
      </c>
      <c r="AI77" s="137">
        <v>15289.566233</v>
      </c>
      <c r="AJ77" s="137">
        <v>13584.912477</v>
      </c>
      <c r="AK77" s="137">
        <v>15522.69</v>
      </c>
    </row>
    <row r="78" spans="2:37" ht="14.1" customHeight="1">
      <c r="B78" s="1"/>
      <c r="C78" s="74"/>
      <c r="D78" s="74"/>
      <c r="E78" s="74"/>
      <c r="F78" s="74"/>
      <c r="G78" s="74"/>
      <c r="H78" s="74"/>
      <c r="I78" s="74"/>
      <c r="J78" s="74"/>
      <c r="K78" s="74"/>
      <c r="L78" s="74"/>
      <c r="M78" s="74"/>
      <c r="N78" s="74"/>
      <c r="O78" s="74" t="s">
        <v>44</v>
      </c>
      <c r="P78" s="139"/>
      <c r="Q78" s="139"/>
      <c r="R78" s="139"/>
      <c r="S78" s="139" t="s">
        <v>44</v>
      </c>
      <c r="T78" s="139"/>
      <c r="U78" s="139"/>
      <c r="V78" s="139"/>
      <c r="W78" s="139" t="s">
        <v>44</v>
      </c>
      <c r="X78" s="139" t="s">
        <v>44</v>
      </c>
      <c r="Y78" s="139"/>
      <c r="Z78" s="139"/>
      <c r="AA78" s="139"/>
      <c r="AB78" s="139"/>
      <c r="AC78" s="139"/>
      <c r="AD78" s="139"/>
      <c r="AE78" s="139"/>
      <c r="AF78" s="139"/>
      <c r="AG78" s="139"/>
      <c r="AH78" s="139"/>
      <c r="AI78" s="139"/>
    </row>
    <row r="79" spans="2:37" ht="14.1" customHeight="1">
      <c r="B79" s="1" t="s">
        <v>43</v>
      </c>
      <c r="C79" s="139">
        <f t="shared" ref="C79:J79" si="6">SUM(C70:C78)</f>
        <v>1224680.8999999999</v>
      </c>
      <c r="D79" s="139">
        <f t="shared" si="6"/>
        <v>1326125</v>
      </c>
      <c r="E79" s="139">
        <f t="shared" si="6"/>
        <v>1466868</v>
      </c>
      <c r="F79" s="139">
        <f t="shared" si="6"/>
        <v>1454053</v>
      </c>
      <c r="G79" s="74">
        <f t="shared" si="6"/>
        <v>1154313.798624</v>
      </c>
      <c r="H79" s="74">
        <f t="shared" si="6"/>
        <v>1219316</v>
      </c>
      <c r="I79" s="74">
        <f t="shared" si="6"/>
        <v>1126378</v>
      </c>
      <c r="J79" s="74">
        <f t="shared" si="6"/>
        <v>1268414</v>
      </c>
      <c r="K79" s="74">
        <f>SUM(K70:K78)</f>
        <v>1543706.4891350004</v>
      </c>
      <c r="L79" s="74">
        <f>SUM(L70:L78)</f>
        <v>1831948.0482049999</v>
      </c>
      <c r="M79" s="139">
        <f t="shared" ref="M79:T79" si="7">SUM(M70:M78)</f>
        <v>1754933.282629</v>
      </c>
      <c r="N79" s="139">
        <f t="shared" si="7"/>
        <v>1643548.8860309999</v>
      </c>
      <c r="O79" s="139">
        <f t="shared" si="7"/>
        <v>1109553.1429290101</v>
      </c>
      <c r="P79" s="139">
        <f t="shared" si="7"/>
        <v>1332481</v>
      </c>
      <c r="Q79" s="139">
        <f t="shared" si="7"/>
        <v>1145017.4763520001</v>
      </c>
      <c r="R79" s="139">
        <f t="shared" si="7"/>
        <v>1236799.7564890001</v>
      </c>
      <c r="S79" s="139">
        <f t="shared" si="7"/>
        <v>1029114.14195144</v>
      </c>
      <c r="T79" s="139">
        <f t="shared" si="7"/>
        <v>1063312.083867</v>
      </c>
      <c r="U79" s="139">
        <f t="shared" ref="U79:AC79" si="8">SUM(U70:U78)</f>
        <v>1170134.8570439999</v>
      </c>
      <c r="V79" s="139">
        <f t="shared" si="8"/>
        <v>1252434.1439969998</v>
      </c>
      <c r="W79" s="139">
        <f t="shared" si="8"/>
        <v>1381422.2600370001</v>
      </c>
      <c r="X79" s="139">
        <f t="shared" si="8"/>
        <v>1199786.9395060001</v>
      </c>
      <c r="Y79" s="139">
        <f t="shared" si="8"/>
        <v>1580236.1918989997</v>
      </c>
      <c r="Z79" s="139">
        <f t="shared" si="8"/>
        <v>1600216.2258240001</v>
      </c>
      <c r="AA79" s="139">
        <f t="shared" si="8"/>
        <v>1755860.4455590001</v>
      </c>
      <c r="AB79" s="139">
        <f t="shared" si="8"/>
        <v>2035351.1178300001</v>
      </c>
      <c r="AC79" s="139">
        <f t="shared" si="8"/>
        <v>2052267.788981</v>
      </c>
      <c r="AD79" s="139">
        <f>SUM(AD70:AD78)</f>
        <v>1545443.512352</v>
      </c>
      <c r="AE79" s="139">
        <f>SUM(AE70:AE78)</f>
        <v>1426594.0503149999</v>
      </c>
      <c r="AF79" s="139">
        <f>SUM(AF70:AF78)</f>
        <v>1516662.4781304824</v>
      </c>
      <c r="AG79" s="139">
        <f>SUM(AG70:AG78)</f>
        <v>1424080.2163189999</v>
      </c>
      <c r="AH79" s="139">
        <f>SUM(AH70:AH78)</f>
        <v>1488084</v>
      </c>
      <c r="AI79" s="139">
        <v>1334947.7648460001</v>
      </c>
      <c r="AJ79" s="139">
        <f>+SUM(AJ70:AJ77)</f>
        <v>1398486.3687989998</v>
      </c>
      <c r="AK79" s="139">
        <f>+SUM(AK70:AK77)</f>
        <v>1342155.1539999999</v>
      </c>
    </row>
    <row r="80" spans="2:37" ht="14.1" customHeight="1">
      <c r="B80" s="1"/>
      <c r="C80" s="74"/>
      <c r="D80" s="74"/>
      <c r="E80" s="74"/>
      <c r="F80" s="74"/>
      <c r="G80" s="74"/>
      <c r="H80" s="74"/>
      <c r="I80" s="74"/>
      <c r="J80" s="74"/>
      <c r="K80" s="74"/>
      <c r="L80" s="74"/>
      <c r="M80" s="74"/>
      <c r="N80" s="74"/>
      <c r="O80" s="74"/>
      <c r="P80" s="139"/>
      <c r="Q80" s="139"/>
      <c r="R80" s="139"/>
      <c r="S80" s="139"/>
      <c r="T80" s="139"/>
      <c r="U80" s="139"/>
      <c r="V80" s="139"/>
      <c r="W80" s="139"/>
      <c r="X80" s="139"/>
      <c r="Y80" s="139"/>
      <c r="Z80" s="139"/>
      <c r="AA80" s="139"/>
      <c r="AB80" s="139"/>
      <c r="AC80" s="139"/>
      <c r="AD80" s="139"/>
      <c r="AE80" s="139"/>
      <c r="AF80" s="139"/>
      <c r="AG80" s="139"/>
      <c r="AH80" s="139"/>
      <c r="AI80" s="139"/>
    </row>
    <row r="81" spans="1:37" ht="14.1" customHeight="1">
      <c r="B81" s="29" t="s">
        <v>55</v>
      </c>
      <c r="C81" s="76">
        <f t="shared" ref="C81:J81" si="9">+C79+C65</f>
        <v>7422550.556752</v>
      </c>
      <c r="D81" s="76">
        <f t="shared" si="9"/>
        <v>7546123</v>
      </c>
      <c r="E81" s="76">
        <f t="shared" si="9"/>
        <v>7761086</v>
      </c>
      <c r="F81" s="76">
        <f t="shared" si="9"/>
        <v>7809721</v>
      </c>
      <c r="G81" s="76">
        <f t="shared" si="9"/>
        <v>9581718.3607899994</v>
      </c>
      <c r="H81" s="76">
        <f t="shared" si="9"/>
        <v>9491516</v>
      </c>
      <c r="I81" s="76">
        <f t="shared" si="9"/>
        <v>9370653</v>
      </c>
      <c r="J81" s="76">
        <f t="shared" si="9"/>
        <v>10113327</v>
      </c>
      <c r="K81" s="76">
        <f>+K79+K65</f>
        <v>10308501.703237999</v>
      </c>
      <c r="L81" s="76">
        <f>+L79+L65</f>
        <v>10297015.54762</v>
      </c>
      <c r="M81" s="76">
        <f>+M79+M65</f>
        <v>10137349.822639</v>
      </c>
      <c r="N81" s="76">
        <f>+N79+N65</f>
        <v>9970536.8860309999</v>
      </c>
      <c r="O81" s="76">
        <f>+O79+O65</f>
        <v>9743762.9656394981</v>
      </c>
      <c r="P81" s="140">
        <f t="shared" ref="P81:U81" si="10">+P79+P65</f>
        <v>9831733.5760019999</v>
      </c>
      <c r="Q81" s="140">
        <f t="shared" si="10"/>
        <v>9836238.5903220009</v>
      </c>
      <c r="R81" s="140">
        <f t="shared" si="10"/>
        <v>9871004.7671600003</v>
      </c>
      <c r="S81" s="140">
        <f t="shared" si="10"/>
        <v>9854973.0545204394</v>
      </c>
      <c r="T81" s="140">
        <f t="shared" si="10"/>
        <v>9730722.6698559988</v>
      </c>
      <c r="U81" s="140">
        <f t="shared" si="10"/>
        <v>9973587.0865080003</v>
      </c>
      <c r="V81" s="140">
        <v>10166726.706020001</v>
      </c>
      <c r="W81" s="140">
        <f t="shared" ref="W81:AC81" si="11">+W65+W79</f>
        <v>10691850.878146999</v>
      </c>
      <c r="X81" s="140">
        <f t="shared" si="11"/>
        <v>10511638.389483999</v>
      </c>
      <c r="Y81" s="140">
        <f t="shared" si="11"/>
        <v>12589732.21438</v>
      </c>
      <c r="Z81" s="140">
        <f t="shared" si="11"/>
        <v>12147004.427724</v>
      </c>
      <c r="AA81" s="140">
        <f t="shared" si="11"/>
        <v>11378341.812708002</v>
      </c>
      <c r="AB81" s="140">
        <f t="shared" si="11"/>
        <v>12262002.085456003</v>
      </c>
      <c r="AC81" s="140">
        <f t="shared" si="11"/>
        <v>12147314.988762001</v>
      </c>
      <c r="AD81" s="140">
        <f>+AD65+AD79</f>
        <v>12139151.882130999</v>
      </c>
      <c r="AE81" s="140">
        <f t="shared" ref="AE81:AG81" si="12">+AE65+AE79</f>
        <v>11810659.506072002</v>
      </c>
      <c r="AF81" s="140">
        <f t="shared" si="12"/>
        <v>12273231.223929483</v>
      </c>
      <c r="AG81" s="140">
        <f t="shared" si="12"/>
        <v>12427459.835995</v>
      </c>
      <c r="AH81" s="140">
        <f t="shared" ref="AH81:AI81" si="13">+AH65+AH79</f>
        <v>12974113</v>
      </c>
      <c r="AI81" s="140">
        <f t="shared" si="13"/>
        <v>12681489.636779001</v>
      </c>
      <c r="AJ81" s="140">
        <f>+AJ65+AJ79</f>
        <v>12883513.375361999</v>
      </c>
      <c r="AK81" s="140">
        <f>+AK65+AK79</f>
        <v>13485086.456999997</v>
      </c>
    </row>
    <row r="82" spans="1:37" ht="14.1" customHeight="1">
      <c r="B82" s="18"/>
      <c r="C82" s="75"/>
      <c r="D82" s="75"/>
      <c r="E82" s="75"/>
      <c r="F82" s="75"/>
      <c r="G82" s="75"/>
      <c r="H82" s="75"/>
      <c r="I82" s="75"/>
      <c r="J82" s="75"/>
      <c r="K82" s="75"/>
      <c r="L82" s="75"/>
      <c r="M82" s="75"/>
      <c r="N82" s="75"/>
      <c r="O82" s="75"/>
      <c r="P82" s="139"/>
      <c r="Q82" s="139"/>
      <c r="R82" s="139"/>
      <c r="S82" s="139"/>
      <c r="T82" s="139"/>
      <c r="U82" s="139"/>
      <c r="V82" s="139"/>
      <c r="W82" s="139"/>
      <c r="X82" s="139"/>
      <c r="Y82" s="139"/>
      <c r="Z82" s="139"/>
      <c r="AA82" s="139"/>
      <c r="AB82" s="139"/>
      <c r="AC82" s="139"/>
      <c r="AD82" s="139"/>
      <c r="AE82" s="139"/>
      <c r="AF82" s="139"/>
      <c r="AG82" s="139"/>
      <c r="AH82" s="139"/>
      <c r="AI82" s="139"/>
    </row>
    <row r="83" spans="1:37" ht="14.1" customHeight="1">
      <c r="B83" s="25" t="s">
        <v>107</v>
      </c>
      <c r="C83" s="73">
        <v>179.8961249999702</v>
      </c>
      <c r="D83" s="73">
        <v>180</v>
      </c>
      <c r="E83" s="73">
        <v>180</v>
      </c>
      <c r="F83" s="73">
        <v>180</v>
      </c>
      <c r="G83" s="73">
        <v>179.89612500000001</v>
      </c>
      <c r="H83" s="73">
        <v>180</v>
      </c>
      <c r="I83" s="73">
        <v>180</v>
      </c>
      <c r="J83" s="73">
        <v>180</v>
      </c>
      <c r="K83" s="73">
        <v>179.89612500000001</v>
      </c>
      <c r="L83" s="73">
        <v>179.8961249999702</v>
      </c>
      <c r="M83" s="73">
        <v>184.99313900000001</v>
      </c>
      <c r="N83" s="73">
        <v>184.99313900000001</v>
      </c>
      <c r="O83" s="73">
        <v>184.99313900000001</v>
      </c>
      <c r="P83" s="137">
        <v>185</v>
      </c>
      <c r="Q83" s="137">
        <v>184.99313900000001</v>
      </c>
      <c r="R83" s="137">
        <v>184.99313900000001</v>
      </c>
      <c r="S83" s="137">
        <v>184.99313900000001</v>
      </c>
      <c r="T83" s="137">
        <v>267.49313899999999</v>
      </c>
      <c r="U83" s="137">
        <v>267.49313899999999</v>
      </c>
      <c r="V83" s="137">
        <v>267.49313899999999</v>
      </c>
      <c r="W83" s="137">
        <v>267.49313899999999</v>
      </c>
      <c r="X83" s="137">
        <v>267.49313899999999</v>
      </c>
      <c r="Y83" s="137">
        <v>267.49313899999999</v>
      </c>
      <c r="Z83" s="137">
        <v>267.49313899999999</v>
      </c>
      <c r="AA83" s="137">
        <v>267.49313899999999</v>
      </c>
      <c r="AB83" s="137">
        <v>267.49313899999999</v>
      </c>
      <c r="AC83" s="137">
        <v>267.49313899999999</v>
      </c>
      <c r="AD83" s="137">
        <v>267.49313899999999</v>
      </c>
      <c r="AE83" s="137">
        <v>267.49313899999999</v>
      </c>
      <c r="AF83" s="137">
        <v>267.49313899999999</v>
      </c>
      <c r="AG83" s="137">
        <v>267.49313899999999</v>
      </c>
      <c r="AH83" s="137">
        <v>267</v>
      </c>
      <c r="AI83" s="137">
        <v>267.49313899999999</v>
      </c>
      <c r="AJ83" s="137">
        <v>267.49313899999999</v>
      </c>
      <c r="AK83" s="137">
        <v>267.49299999999999</v>
      </c>
    </row>
    <row r="84" spans="1:37" ht="14.1" customHeight="1">
      <c r="B84" s="25" t="s">
        <v>108</v>
      </c>
      <c r="C84" s="73">
        <v>298145.78426600015</v>
      </c>
      <c r="D84" s="73">
        <v>298146</v>
      </c>
      <c r="E84" s="73">
        <v>298146</v>
      </c>
      <c r="F84" s="73">
        <v>298146</v>
      </c>
      <c r="G84" s="73">
        <v>298145.78426599997</v>
      </c>
      <c r="H84" s="73">
        <v>298146</v>
      </c>
      <c r="I84" s="73">
        <v>298146</v>
      </c>
      <c r="J84" s="73">
        <v>298146</v>
      </c>
      <c r="K84" s="73">
        <v>298145.78426599997</v>
      </c>
      <c r="L84" s="73">
        <v>298145.78426600015</v>
      </c>
      <c r="M84" s="73">
        <v>365441.653506</v>
      </c>
      <c r="N84" s="73">
        <v>365441.653506</v>
      </c>
      <c r="O84" s="73">
        <v>365441.653506</v>
      </c>
      <c r="P84" s="137">
        <v>365442</v>
      </c>
      <c r="Q84" s="137">
        <v>365441.653506</v>
      </c>
      <c r="R84" s="137">
        <v>365441.653506</v>
      </c>
      <c r="S84" s="137">
        <v>365441.653506</v>
      </c>
      <c r="T84" s="137">
        <v>1822871.5144440001</v>
      </c>
      <c r="U84" s="137">
        <v>1822194.921145</v>
      </c>
      <c r="V84" s="137">
        <v>1822194.921145</v>
      </c>
      <c r="W84" s="137">
        <v>1822194.921145</v>
      </c>
      <c r="X84" s="137">
        <v>1822194.921145</v>
      </c>
      <c r="Y84" s="137">
        <v>1822194.921145</v>
      </c>
      <c r="Z84" s="137">
        <v>1822194.921145</v>
      </c>
      <c r="AA84" s="137">
        <v>1822194.921145</v>
      </c>
      <c r="AB84" s="137">
        <v>1822194.921145</v>
      </c>
      <c r="AC84" s="137">
        <v>1822195.921145</v>
      </c>
      <c r="AD84" s="137">
        <v>1822195.921145</v>
      </c>
      <c r="AE84" s="137">
        <v>1822195.921145</v>
      </c>
      <c r="AF84" s="137">
        <v>1822194.921145</v>
      </c>
      <c r="AG84" s="137">
        <v>1822194.921145</v>
      </c>
      <c r="AH84" s="137">
        <v>1822195</v>
      </c>
      <c r="AI84" s="137">
        <v>1822194.921145</v>
      </c>
      <c r="AJ84" s="137">
        <v>1822194.921145</v>
      </c>
      <c r="AK84" s="137">
        <v>1822194.9210000001</v>
      </c>
    </row>
    <row r="85" spans="1:37" ht="14.1" customHeight="1">
      <c r="B85" s="25" t="s">
        <v>109</v>
      </c>
      <c r="C85" s="73">
        <v>2090855.0685320001</v>
      </c>
      <c r="D85" s="73">
        <v>2383907</v>
      </c>
      <c r="E85" s="73">
        <v>2383907</v>
      </c>
      <c r="F85" s="73">
        <v>2383907</v>
      </c>
      <c r="G85" s="73">
        <v>2383907.040234</v>
      </c>
      <c r="H85" s="73">
        <v>2471189</v>
      </c>
      <c r="I85" s="73">
        <v>2471189</v>
      </c>
      <c r="J85" s="73">
        <v>2471189</v>
      </c>
      <c r="K85" s="73">
        <v>2471189.1093649999</v>
      </c>
      <c r="L85" s="73">
        <v>2451745.78627</v>
      </c>
      <c r="M85" s="73">
        <v>2451746.24548</v>
      </c>
      <c r="N85" s="73">
        <v>2451746.24548</v>
      </c>
      <c r="O85" s="73">
        <v>2451746.24548</v>
      </c>
      <c r="P85" s="137">
        <v>2465196</v>
      </c>
      <c r="Q85" s="137">
        <v>2465195.8265760001</v>
      </c>
      <c r="R85" s="137">
        <v>2465195.8265760001</v>
      </c>
      <c r="S85" s="137">
        <v>2465195.8265760001</v>
      </c>
      <c r="T85" s="137">
        <v>2467050.747039</v>
      </c>
      <c r="U85" s="137">
        <v>2467050.747039</v>
      </c>
      <c r="V85" s="137">
        <v>2467050.747039</v>
      </c>
      <c r="W85" s="137">
        <v>2467050.747039</v>
      </c>
      <c r="X85" s="137">
        <v>2498009.8775010002</v>
      </c>
      <c r="Y85" s="137">
        <v>2498009.8775010002</v>
      </c>
      <c r="Z85" s="137">
        <v>2498009.8775010002</v>
      </c>
      <c r="AA85" s="137">
        <v>2498009.8775010002</v>
      </c>
      <c r="AB85" s="137">
        <v>2306188.1998800002</v>
      </c>
      <c r="AC85" s="137">
        <v>2306188.1998800002</v>
      </c>
      <c r="AD85" s="137">
        <v>2306188.1998800002</v>
      </c>
      <c r="AE85" s="137">
        <v>2306188.1998800002</v>
      </c>
      <c r="AF85" s="137">
        <v>2308379.0498569999</v>
      </c>
      <c r="AG85" s="137">
        <v>2308379.0498569999</v>
      </c>
      <c r="AH85" s="137">
        <v>2308379</v>
      </c>
      <c r="AI85" s="137">
        <v>2308379.0498569999</v>
      </c>
      <c r="AJ85" s="137">
        <v>2319608.2934420002</v>
      </c>
      <c r="AK85" s="137">
        <v>2319608.2930000001</v>
      </c>
    </row>
    <row r="86" spans="1:37" ht="14.1" customHeight="1">
      <c r="B86" s="25" t="s">
        <v>110</v>
      </c>
      <c r="C86" s="73">
        <v>0</v>
      </c>
      <c r="D86" s="73">
        <v>62865</v>
      </c>
      <c r="E86" s="73">
        <v>178839</v>
      </c>
      <c r="F86" s="73">
        <v>180115</v>
      </c>
      <c r="G86" s="73">
        <v>173632.33426043601</v>
      </c>
      <c r="H86" s="73">
        <v>-4635</v>
      </c>
      <c r="I86" s="73">
        <v>-19449</v>
      </c>
      <c r="J86" s="73">
        <v>-90599</v>
      </c>
      <c r="K86" s="73">
        <v>-166414.84048000001</v>
      </c>
      <c r="L86" s="73">
        <v>-29681.433939999999</v>
      </c>
      <c r="M86" s="73">
        <v>-33306.351238000003</v>
      </c>
      <c r="N86" s="73">
        <v>346</v>
      </c>
      <c r="O86" s="73">
        <v>32996.8220138947</v>
      </c>
      <c r="P86" s="137">
        <v>608</v>
      </c>
      <c r="Q86" s="137">
        <v>43398.798145000022</v>
      </c>
      <c r="R86" s="137">
        <v>109819.436109</v>
      </c>
      <c r="S86" s="137">
        <v>149147.18753299999</v>
      </c>
      <c r="T86" s="137">
        <v>51226.519983000006</v>
      </c>
      <c r="U86" s="137">
        <v>118141.130779</v>
      </c>
      <c r="V86" s="137">
        <v>164005.27351100001</v>
      </c>
      <c r="W86" s="137">
        <v>227834.08039799999</v>
      </c>
      <c r="X86" s="137">
        <v>34149.500879999985</v>
      </c>
      <c r="Y86" s="137">
        <v>49971.540033000012</v>
      </c>
      <c r="Z86" s="137">
        <v>357606.44303799979</v>
      </c>
      <c r="AA86" s="137">
        <v>473446.69900000002</v>
      </c>
      <c r="AB86" s="137">
        <v>65028.208490999998</v>
      </c>
      <c r="AC86" s="137">
        <v>138120.57574100001</v>
      </c>
      <c r="AD86" s="137">
        <v>193792.100442</v>
      </c>
      <c r="AE86" s="137">
        <v>249319.972943</v>
      </c>
      <c r="AF86" s="137">
        <v>83504.070340999999</v>
      </c>
      <c r="AG86" s="137">
        <v>140797.43687000001</v>
      </c>
      <c r="AH86" s="137">
        <v>217310</v>
      </c>
      <c r="AI86" s="137">
        <v>334546.583927</v>
      </c>
      <c r="AJ86" s="137">
        <v>102688.672103</v>
      </c>
      <c r="AK86" s="137">
        <v>208441.28400000001</v>
      </c>
    </row>
    <row r="87" spans="1:37" ht="14.1" customHeight="1">
      <c r="B87" s="25" t="s">
        <v>246</v>
      </c>
      <c r="C87" s="73">
        <v>262013</v>
      </c>
      <c r="D87" s="73">
        <v>280024</v>
      </c>
      <c r="E87" s="73">
        <v>329841</v>
      </c>
      <c r="F87" s="73">
        <v>360128</v>
      </c>
      <c r="G87" s="73">
        <v>379551.81790099997</v>
      </c>
      <c r="H87" s="73">
        <v>359024</v>
      </c>
      <c r="I87" s="73">
        <v>395469</v>
      </c>
      <c r="J87" s="73">
        <v>518560</v>
      </c>
      <c r="K87" s="73">
        <v>328885.58726100001</v>
      </c>
      <c r="L87" s="73">
        <v>215553.397654</v>
      </c>
      <c r="M87" s="73">
        <v>195388.52333</v>
      </c>
      <c r="N87" s="73">
        <v>186307</v>
      </c>
      <c r="O87" s="73">
        <v>199134.89164311279</v>
      </c>
      <c r="P87" s="137">
        <v>183068</v>
      </c>
      <c r="Q87" s="137">
        <v>213541.367249</v>
      </c>
      <c r="R87" s="137">
        <v>190735.01802600001</v>
      </c>
      <c r="S87" s="137">
        <v>196838.26193160281</v>
      </c>
      <c r="T87" s="137">
        <v>130831.84554900001</v>
      </c>
      <c r="U87" s="137">
        <v>173275.79096300001</v>
      </c>
      <c r="V87" s="137">
        <v>196182.82352800001</v>
      </c>
      <c r="W87" s="137">
        <v>316132.012368</v>
      </c>
      <c r="X87" s="137">
        <v>221447.22994600001</v>
      </c>
      <c r="Y87" s="137">
        <v>304078.45005799999</v>
      </c>
      <c r="Z87" s="137">
        <v>417035.98148199997</v>
      </c>
      <c r="AA87" s="137">
        <v>326727.76979200001</v>
      </c>
      <c r="AB87" s="137">
        <v>658279.08482500003</v>
      </c>
      <c r="AC87" s="137">
        <v>534254.53790500003</v>
      </c>
      <c r="AD87" s="137">
        <v>580502.790653</v>
      </c>
      <c r="AE87" s="137">
        <v>390318.14848700003</v>
      </c>
      <c r="AF87" s="137">
        <v>524860.54946248245</v>
      </c>
      <c r="AG87" s="137">
        <v>624151.91916799999</v>
      </c>
      <c r="AH87" s="137">
        <v>560499</v>
      </c>
      <c r="AI87" s="137">
        <v>656700</v>
      </c>
      <c r="AJ87" s="137">
        <v>482987.43559800001</v>
      </c>
      <c r="AK87" s="137">
        <v>674364.21400000004</v>
      </c>
    </row>
    <row r="88" spans="1:37" ht="14.1" customHeight="1">
      <c r="B88" s="25" t="s">
        <v>356</v>
      </c>
      <c r="C88" s="73" t="s">
        <v>159</v>
      </c>
      <c r="D88" s="73" t="s">
        <v>159</v>
      </c>
      <c r="E88" s="73" t="s">
        <v>159</v>
      </c>
      <c r="F88" s="73" t="s">
        <v>159</v>
      </c>
      <c r="G88" s="73" t="s">
        <v>159</v>
      </c>
      <c r="H88" s="73" t="s">
        <v>159</v>
      </c>
      <c r="I88" s="73" t="s">
        <v>159</v>
      </c>
      <c r="J88" s="73" t="s">
        <v>159</v>
      </c>
      <c r="K88" s="73" t="s">
        <v>159</v>
      </c>
      <c r="L88" s="73" t="s">
        <v>159</v>
      </c>
      <c r="M88" s="73" t="s">
        <v>159</v>
      </c>
      <c r="N88" s="73" t="s">
        <v>159</v>
      </c>
      <c r="O88" s="73" t="s">
        <v>159</v>
      </c>
      <c r="P88" s="73" t="s">
        <v>159</v>
      </c>
      <c r="Q88" s="73" t="s">
        <v>159</v>
      </c>
      <c r="R88" s="73" t="s">
        <v>159</v>
      </c>
      <c r="S88" s="73" t="s">
        <v>159</v>
      </c>
      <c r="T88" s="137">
        <v>-405668.19737800001</v>
      </c>
      <c r="U88" s="137">
        <v>-405668.19737801421</v>
      </c>
      <c r="V88" s="137">
        <v>-405668.19737800001</v>
      </c>
      <c r="W88" s="137">
        <v>-405668.19737800001</v>
      </c>
      <c r="X88" s="137">
        <v>-470007.06917099998</v>
      </c>
      <c r="Y88" s="137">
        <v>-470007.06917099998</v>
      </c>
      <c r="Z88" s="137">
        <v>-476965.89803600003</v>
      </c>
      <c r="AA88" s="137">
        <v>-542983.06975799997</v>
      </c>
      <c r="AB88" s="137">
        <v>-542983.06975799997</v>
      </c>
      <c r="AC88" s="137">
        <v>-542983.06975799997</v>
      </c>
      <c r="AD88" s="137">
        <v>-542983.06975799997</v>
      </c>
      <c r="AE88" s="137">
        <v>-542983.06975799997</v>
      </c>
      <c r="AF88" s="137">
        <v>-542983.06975799997</v>
      </c>
      <c r="AG88" s="137">
        <v>-542983.06975799997</v>
      </c>
      <c r="AH88" s="137">
        <v>-542983</v>
      </c>
      <c r="AI88" s="137">
        <v>-542983.06975799997</v>
      </c>
      <c r="AJ88" s="137">
        <v>-542983.06975799997</v>
      </c>
      <c r="AK88" s="137">
        <v>-545172.23199999996</v>
      </c>
    </row>
    <row r="89" spans="1:37" ht="14.1" customHeight="1">
      <c r="B89" s="25" t="s">
        <v>257</v>
      </c>
      <c r="C89" s="73" t="s">
        <v>159</v>
      </c>
      <c r="D89" s="73" t="s">
        <v>159</v>
      </c>
      <c r="E89" s="73" t="s">
        <v>159</v>
      </c>
      <c r="F89" s="73" t="s">
        <v>159</v>
      </c>
      <c r="G89" s="73" t="s">
        <v>159</v>
      </c>
      <c r="H89" s="73" t="s">
        <v>159</v>
      </c>
      <c r="I89" s="73" t="s">
        <v>159</v>
      </c>
      <c r="J89" s="73" t="s">
        <v>159</v>
      </c>
      <c r="K89" s="73" t="s">
        <v>159</v>
      </c>
      <c r="L89" s="73">
        <v>-26304.439756</v>
      </c>
      <c r="M89" s="73">
        <v>-26304.898966000001</v>
      </c>
      <c r="N89" s="73">
        <v>-26304.898966000001</v>
      </c>
      <c r="O89" s="73">
        <v>-26304.898966000001</v>
      </c>
      <c r="P89" s="137">
        <v>-26305</v>
      </c>
      <c r="Q89" s="137">
        <v>-26304.898966000001</v>
      </c>
      <c r="R89" s="137">
        <v>-26304.898966000001</v>
      </c>
      <c r="S89" s="137">
        <v>-26304.898966000001</v>
      </c>
      <c r="T89" s="137">
        <v>-60907.948015000002</v>
      </c>
      <c r="U89" s="137">
        <v>-60907.948015000002</v>
      </c>
      <c r="V89" s="137">
        <v>-60907.948015000002</v>
      </c>
      <c r="W89" s="137">
        <v>-60906.948015000002</v>
      </c>
      <c r="X89" s="137">
        <v>-60907.948015000002</v>
      </c>
      <c r="Y89" s="137">
        <v>-50393.832832</v>
      </c>
      <c r="Z89" s="137">
        <v>-50393.832832</v>
      </c>
      <c r="AA89" s="137">
        <v>-50393.832832</v>
      </c>
      <c r="AB89" s="137">
        <v>302435.75114499999</v>
      </c>
      <c r="AC89" s="137">
        <v>302434.75114499999</v>
      </c>
      <c r="AD89" s="137">
        <v>302434.75114499999</v>
      </c>
      <c r="AE89" s="137">
        <v>302434.75114499999</v>
      </c>
      <c r="AF89" s="137">
        <v>269231.06496300001</v>
      </c>
      <c r="AG89" s="137">
        <v>269231.06496300001</v>
      </c>
      <c r="AH89" s="137">
        <v>269231</v>
      </c>
      <c r="AI89" s="137">
        <v>246672.210226</v>
      </c>
      <c r="AJ89" s="137">
        <v>239368.03138199999</v>
      </c>
      <c r="AK89" s="137">
        <v>239368.03099999999</v>
      </c>
    </row>
    <row r="90" spans="1:37" ht="14.1" customHeight="1">
      <c r="A90" s="100"/>
      <c r="B90" s="25" t="s">
        <v>111</v>
      </c>
      <c r="C90" s="73">
        <v>20585</v>
      </c>
      <c r="D90" s="73">
        <v>20585</v>
      </c>
      <c r="E90" s="73">
        <v>20585</v>
      </c>
      <c r="F90" s="73">
        <v>20585</v>
      </c>
      <c r="G90" s="73">
        <v>20585.359271000001</v>
      </c>
      <c r="H90" s="73">
        <v>26437</v>
      </c>
      <c r="I90" s="73">
        <v>26435</v>
      </c>
      <c r="J90" s="73">
        <v>26435</v>
      </c>
      <c r="K90" s="73">
        <v>20585.359271000001</v>
      </c>
      <c r="L90" s="73">
        <v>20585.359271000001</v>
      </c>
      <c r="M90" s="73">
        <v>20585.359271000001</v>
      </c>
      <c r="N90" s="73">
        <v>20585.359271000001</v>
      </c>
      <c r="O90" s="73">
        <v>20585.359271000001</v>
      </c>
      <c r="P90" s="137">
        <v>20585</v>
      </c>
      <c r="Q90" s="137">
        <v>20585.359271000001</v>
      </c>
      <c r="R90" s="137">
        <v>20585.359271000001</v>
      </c>
      <c r="S90" s="137">
        <v>20585.359271000001</v>
      </c>
      <c r="T90" s="137">
        <v>20585.359271000001</v>
      </c>
      <c r="U90" s="137">
        <v>20585.359271000001</v>
      </c>
      <c r="V90" s="137">
        <v>20585.359271000001</v>
      </c>
      <c r="W90" s="137">
        <v>20585.359271000001</v>
      </c>
      <c r="X90" s="137">
        <v>20585.359271000001</v>
      </c>
      <c r="Y90" s="137">
        <v>20585.359271000001</v>
      </c>
      <c r="Z90" s="137">
        <v>20585.359271000001</v>
      </c>
      <c r="AA90" s="137">
        <v>20585.359271000001</v>
      </c>
      <c r="AB90" s="137">
        <v>20585.359271000001</v>
      </c>
      <c r="AC90" s="137">
        <v>20585.359271000001</v>
      </c>
      <c r="AD90" s="137">
        <v>20585.359271000001</v>
      </c>
      <c r="AE90" s="137">
        <v>20585.359271000001</v>
      </c>
      <c r="AF90" s="137">
        <v>20585.359271000001</v>
      </c>
      <c r="AG90" s="137">
        <v>20585.359271000001</v>
      </c>
      <c r="AH90" s="137">
        <v>20585</v>
      </c>
      <c r="AI90" s="137">
        <v>20585.359271000001</v>
      </c>
      <c r="AJ90" s="137">
        <v>20585.359271000001</v>
      </c>
      <c r="AK90" s="137">
        <v>20585.359</v>
      </c>
    </row>
    <row r="91" spans="1:37" s="180" customFormat="1" ht="14.1" customHeight="1">
      <c r="B91" s="251" t="s">
        <v>355</v>
      </c>
      <c r="C91" s="179">
        <v>373645</v>
      </c>
      <c r="D91" s="250" t="s">
        <v>159</v>
      </c>
      <c r="E91" s="250" t="s">
        <v>159</v>
      </c>
      <c r="F91" s="250" t="s">
        <v>159</v>
      </c>
      <c r="G91" s="250" t="s">
        <v>159</v>
      </c>
      <c r="H91" s="250" t="s">
        <v>159</v>
      </c>
      <c r="I91" s="250" t="s">
        <v>159</v>
      </c>
      <c r="J91" s="250" t="s">
        <v>159</v>
      </c>
      <c r="K91" s="179">
        <v>207017.21762899999</v>
      </c>
      <c r="L91" s="179">
        <v>76648.849595000007</v>
      </c>
      <c r="M91" s="179">
        <v>76648.849595000007</v>
      </c>
      <c r="N91" s="179">
        <v>76648.849595000007</v>
      </c>
      <c r="O91" s="179">
        <v>76648.849595000007</v>
      </c>
      <c r="P91" s="250" t="s">
        <v>159</v>
      </c>
      <c r="Q91" s="250" t="s">
        <v>159</v>
      </c>
      <c r="R91" s="250" t="s">
        <v>159</v>
      </c>
      <c r="S91" s="250" t="s">
        <v>159</v>
      </c>
      <c r="T91" s="250" t="s">
        <v>159</v>
      </c>
      <c r="U91" s="250" t="s">
        <v>159</v>
      </c>
      <c r="V91" s="250" t="s">
        <v>159</v>
      </c>
      <c r="W91" s="73">
        <v>10513.115183</v>
      </c>
      <c r="X91" s="73">
        <v>10513.115183</v>
      </c>
      <c r="Y91" s="250" t="s">
        <v>159</v>
      </c>
      <c r="Z91" s="250" t="s">
        <v>159</v>
      </c>
      <c r="AA91" s="250" t="s">
        <v>159</v>
      </c>
      <c r="AB91" s="250" t="s">
        <v>159</v>
      </c>
      <c r="AC91" s="250" t="s">
        <v>159</v>
      </c>
      <c r="AD91" s="250" t="s">
        <v>159</v>
      </c>
      <c r="AE91" s="250" t="s">
        <v>159</v>
      </c>
      <c r="AF91" s="250" t="s">
        <v>159</v>
      </c>
      <c r="AG91" s="250" t="s">
        <v>159</v>
      </c>
      <c r="AH91" s="250" t="s">
        <v>159</v>
      </c>
      <c r="AI91" s="250" t="s">
        <v>159</v>
      </c>
      <c r="AJ91" s="250" t="s">
        <v>159</v>
      </c>
      <c r="AK91" s="250"/>
    </row>
    <row r="92" spans="1:37" s="100" customFormat="1" ht="14.1" customHeight="1">
      <c r="A92" s="25"/>
      <c r="B92" s="100" t="s">
        <v>118</v>
      </c>
      <c r="C92" s="139">
        <f t="shared" ref="C92:U92" si="14">SUM(C83:C90)</f>
        <v>2671778.7489229999</v>
      </c>
      <c r="D92" s="139">
        <f t="shared" si="14"/>
        <v>3045707</v>
      </c>
      <c r="E92" s="139">
        <f t="shared" si="14"/>
        <v>3211498</v>
      </c>
      <c r="F92" s="139">
        <f t="shared" si="14"/>
        <v>3243061</v>
      </c>
      <c r="G92" s="139">
        <f t="shared" si="14"/>
        <v>3256002.2320574359</v>
      </c>
      <c r="H92" s="139">
        <f t="shared" si="14"/>
        <v>3150341</v>
      </c>
      <c r="I92" s="139">
        <f t="shared" si="14"/>
        <v>3171970</v>
      </c>
      <c r="J92" s="139">
        <f t="shared" si="14"/>
        <v>3223911</v>
      </c>
      <c r="K92" s="139">
        <f t="shared" si="14"/>
        <v>2952570.8958080006</v>
      </c>
      <c r="L92" s="139">
        <f t="shared" si="14"/>
        <v>2930224.3498900007</v>
      </c>
      <c r="M92" s="139">
        <f t="shared" si="14"/>
        <v>2973735.5245220005</v>
      </c>
      <c r="N92" s="139">
        <f t="shared" si="14"/>
        <v>2998306.3524300004</v>
      </c>
      <c r="O92" s="139">
        <f t="shared" si="14"/>
        <v>3043785.066087008</v>
      </c>
      <c r="P92" s="139">
        <f t="shared" si="14"/>
        <v>3008779</v>
      </c>
      <c r="Q92" s="139">
        <f t="shared" si="14"/>
        <v>3082043.0989200003</v>
      </c>
      <c r="R92" s="139">
        <f t="shared" si="14"/>
        <v>3125657.3876610002</v>
      </c>
      <c r="S92" s="139">
        <f t="shared" si="14"/>
        <v>3171088.3829906033</v>
      </c>
      <c r="T92" s="139">
        <f t="shared" si="14"/>
        <v>4026257.3340320005</v>
      </c>
      <c r="U92" s="139">
        <f t="shared" si="14"/>
        <v>4134939.2969429852</v>
      </c>
      <c r="V92" s="139">
        <v>4203710.4722399991</v>
      </c>
      <c r="W92" s="139">
        <v>4398001.5831500003</v>
      </c>
      <c r="X92" s="139">
        <v>4076252.4798789998</v>
      </c>
      <c r="Y92" s="139">
        <v>4174706.7391439993</v>
      </c>
      <c r="Z92" s="139">
        <f>SUM(Z83:Z91)</f>
        <v>4588340.3447079994</v>
      </c>
      <c r="AA92" s="139">
        <f>SUM(AA83:AA91)</f>
        <v>4547855.2172579998</v>
      </c>
      <c r="AB92" s="139">
        <f>SUM(AB83:AB91)</f>
        <v>4631995.9481380004</v>
      </c>
      <c r="AC92" s="139">
        <f>SUM(AC83:AC91)</f>
        <v>4581063.7684680009</v>
      </c>
      <c r="AD92" s="139">
        <f>SUM(AD83:AD91)</f>
        <v>4682983.5459169997</v>
      </c>
      <c r="AE92" s="139">
        <f t="shared" ref="AE92:AH92" si="15">SUM(AE83:AE91)</f>
        <v>4548326.7762519997</v>
      </c>
      <c r="AF92" s="139">
        <f t="shared" si="15"/>
        <v>4486039.4384204829</v>
      </c>
      <c r="AG92" s="139">
        <f t="shared" si="15"/>
        <v>4642624.1746550007</v>
      </c>
      <c r="AH92" s="139">
        <f t="shared" si="15"/>
        <v>4655483</v>
      </c>
      <c r="AI92" s="139">
        <f>SUM(AI83:AI91)</f>
        <v>4846362.5478070006</v>
      </c>
      <c r="AJ92" s="139">
        <v>4444717.1363220001</v>
      </c>
      <c r="AK92" s="139">
        <f>+SUM(AK83:AK90)</f>
        <v>4739657.3630000008</v>
      </c>
    </row>
    <row r="93" spans="1:37" ht="14.1" customHeight="1">
      <c r="A93" s="100"/>
      <c r="B93" s="25" t="s">
        <v>112</v>
      </c>
      <c r="C93" s="73">
        <v>1377120.8304344744</v>
      </c>
      <c r="D93" s="73">
        <v>1315516</v>
      </c>
      <c r="E93" s="73">
        <v>1382586</v>
      </c>
      <c r="F93" s="73">
        <v>1410782</v>
      </c>
      <c r="G93" s="73">
        <v>1162294.7989699999</v>
      </c>
      <c r="H93" s="73">
        <v>981171</v>
      </c>
      <c r="I93" s="73">
        <v>1007284</v>
      </c>
      <c r="J93" s="73">
        <v>963998</v>
      </c>
      <c r="K93" s="73">
        <v>1217673</v>
      </c>
      <c r="L93" s="73">
        <v>1160945.293579</v>
      </c>
      <c r="M93" s="73">
        <v>1204332.6516549999</v>
      </c>
      <c r="N93" s="73">
        <v>1245124.1746159999</v>
      </c>
      <c r="O93" s="73">
        <v>1274089.876313</v>
      </c>
      <c r="P93" s="137">
        <v>1194651</v>
      </c>
      <c r="Q93" s="137">
        <v>1204296.8832670001</v>
      </c>
      <c r="R93" s="137">
        <v>1248046.8491430001</v>
      </c>
      <c r="S93" s="137">
        <v>1265806.0548930001</v>
      </c>
      <c r="T93" s="137">
        <v>907567.54303499998</v>
      </c>
      <c r="U93" s="137">
        <v>929958.02966801415</v>
      </c>
      <c r="V93" s="137">
        <v>945913.17055299995</v>
      </c>
      <c r="W93" s="137">
        <v>1006354.153196</v>
      </c>
      <c r="X93" s="137">
        <v>956687.45942099998</v>
      </c>
      <c r="Y93" s="137">
        <v>927813.70486000006</v>
      </c>
      <c r="Z93" s="137">
        <v>1078109.1995699999</v>
      </c>
      <c r="AA93" s="137">
        <v>1126742.2068459999</v>
      </c>
      <c r="AB93" s="137">
        <v>1022890.856407</v>
      </c>
      <c r="AC93" s="137">
        <v>1076247.1634899999</v>
      </c>
      <c r="AD93" s="137">
        <v>1115935.2656709999</v>
      </c>
      <c r="AE93" s="137">
        <v>1192329.789836</v>
      </c>
      <c r="AF93" s="137">
        <v>1120420.6197939999</v>
      </c>
      <c r="AG93" s="137">
        <v>1229499.574339</v>
      </c>
      <c r="AH93" s="137">
        <v>1325690</v>
      </c>
      <c r="AI93" s="137">
        <v>1475558</v>
      </c>
      <c r="AJ93" s="137">
        <v>1435366.8809189999</v>
      </c>
      <c r="AK93" s="137">
        <v>1478236.8689999999</v>
      </c>
    </row>
    <row r="94" spans="1:37" s="100" customFormat="1" ht="14.1" customHeight="1">
      <c r="A94" s="25"/>
      <c r="B94" s="29" t="s">
        <v>113</v>
      </c>
      <c r="C94" s="140">
        <f t="shared" ref="C94:T94" si="16">+C92+C93</f>
        <v>4048899.5793574741</v>
      </c>
      <c r="D94" s="140">
        <f t="shared" si="16"/>
        <v>4361223</v>
      </c>
      <c r="E94" s="140">
        <f t="shared" si="16"/>
        <v>4594084</v>
      </c>
      <c r="F94" s="140">
        <f t="shared" si="16"/>
        <v>4653843</v>
      </c>
      <c r="G94" s="140">
        <f t="shared" si="16"/>
        <v>4418297.0310274363</v>
      </c>
      <c r="H94" s="140">
        <f t="shared" si="16"/>
        <v>4131512</v>
      </c>
      <c r="I94" s="140">
        <f t="shared" si="16"/>
        <v>4179254</v>
      </c>
      <c r="J94" s="140">
        <f t="shared" si="16"/>
        <v>4187909</v>
      </c>
      <c r="K94" s="140">
        <f t="shared" si="16"/>
        <v>4170243.8958080006</v>
      </c>
      <c r="L94" s="140">
        <f t="shared" si="16"/>
        <v>4091169.6434690007</v>
      </c>
      <c r="M94" s="140">
        <f t="shared" si="16"/>
        <v>4178068.1761770006</v>
      </c>
      <c r="N94" s="140">
        <f t="shared" si="16"/>
        <v>4243430.5270460006</v>
      </c>
      <c r="O94" s="140">
        <f t="shared" si="16"/>
        <v>4317874.9424000084</v>
      </c>
      <c r="P94" s="140">
        <f t="shared" si="16"/>
        <v>4203430</v>
      </c>
      <c r="Q94" s="140">
        <f t="shared" si="16"/>
        <v>4286339.9821870001</v>
      </c>
      <c r="R94" s="140">
        <f t="shared" si="16"/>
        <v>4373704.2368040001</v>
      </c>
      <c r="S94" s="140">
        <f t="shared" si="16"/>
        <v>4436894.4378836034</v>
      </c>
      <c r="T94" s="140">
        <f t="shared" si="16"/>
        <v>4933824.8770670006</v>
      </c>
      <c r="U94" s="140">
        <f>+U92+U93</f>
        <v>5064897.3266109992</v>
      </c>
      <c r="V94" s="140">
        <f>+V92+V93</f>
        <v>5149623.6427929988</v>
      </c>
      <c r="W94" s="140">
        <f>+SUM(W92:W93)</f>
        <v>5404355.7363460008</v>
      </c>
      <c r="X94" s="140">
        <v>5032939.9392999997</v>
      </c>
      <c r="Y94" s="140">
        <v>5102520.4440039992</v>
      </c>
      <c r="Z94" s="140">
        <f>+Z92+Z93</f>
        <v>5666449.5442779996</v>
      </c>
      <c r="AA94" s="140">
        <f>+AA92+AA93</f>
        <v>5674597.4241039995</v>
      </c>
      <c r="AB94" s="140">
        <f>+AB92+AB93</f>
        <v>5654886.8045450002</v>
      </c>
      <c r="AC94" s="140">
        <f>+AC92+AC93</f>
        <v>5657310.9319580011</v>
      </c>
      <c r="AD94" s="140">
        <f>+AD92+AD93</f>
        <v>5798918.8115879996</v>
      </c>
      <c r="AE94" s="140">
        <f t="shared" ref="AE94:AI94" si="17">+AE92+AE93</f>
        <v>5740656.5660879994</v>
      </c>
      <c r="AF94" s="140">
        <f t="shared" si="17"/>
        <v>5606460.0582144829</v>
      </c>
      <c r="AG94" s="140">
        <f t="shared" si="17"/>
        <v>5872123.7489940003</v>
      </c>
      <c r="AH94" s="140">
        <f t="shared" si="17"/>
        <v>5981173</v>
      </c>
      <c r="AI94" s="140">
        <f t="shared" si="17"/>
        <v>6321920.5478070006</v>
      </c>
      <c r="AJ94" s="140">
        <f>+AJ92+AJ93</f>
        <v>5880084.0172410002</v>
      </c>
      <c r="AK94" s="140">
        <f>+AK92+AK93</f>
        <v>6217894.2320000008</v>
      </c>
    </row>
    <row r="95" spans="1:37" ht="14.1" customHeight="1">
      <c r="B95" s="25"/>
      <c r="C95" s="73"/>
      <c r="D95" s="73"/>
      <c r="E95" s="73"/>
      <c r="F95" s="73"/>
      <c r="G95" s="73"/>
      <c r="H95" s="73"/>
      <c r="I95" s="73"/>
      <c r="J95" s="73"/>
      <c r="K95" s="73"/>
      <c r="L95" s="73"/>
      <c r="M95" s="73"/>
      <c r="N95" s="73"/>
      <c r="O95" s="73"/>
      <c r="P95" s="137"/>
      <c r="Q95" s="137"/>
      <c r="R95" s="137"/>
      <c r="S95" s="137"/>
      <c r="T95" s="137"/>
      <c r="U95" s="137"/>
      <c r="V95" s="137"/>
      <c r="W95" s="137"/>
      <c r="X95" s="137"/>
      <c r="Y95" s="137"/>
      <c r="Z95" s="137"/>
      <c r="AA95" s="137"/>
      <c r="AB95" s="137"/>
      <c r="AC95" s="137"/>
      <c r="AD95" s="137"/>
      <c r="AE95" s="137"/>
      <c r="AF95" s="137"/>
      <c r="AG95" s="137"/>
      <c r="AH95" s="137"/>
      <c r="AI95" s="137"/>
    </row>
    <row r="96" spans="1:37" ht="14.1" customHeight="1">
      <c r="B96" s="100" t="s">
        <v>247</v>
      </c>
      <c r="C96" s="73"/>
      <c r="D96" s="73"/>
      <c r="E96" s="73"/>
      <c r="F96" s="73"/>
      <c r="G96" s="73"/>
      <c r="H96" s="73"/>
      <c r="I96" s="73"/>
      <c r="J96" s="73"/>
      <c r="K96" s="73"/>
      <c r="L96" s="73"/>
      <c r="M96" s="73"/>
      <c r="N96" s="73"/>
      <c r="O96" s="73" t="s">
        <v>44</v>
      </c>
      <c r="P96" s="137"/>
      <c r="Q96" s="137"/>
      <c r="R96" s="137"/>
      <c r="S96" s="137"/>
      <c r="T96" s="137"/>
      <c r="U96" s="137"/>
      <c r="V96" s="137"/>
      <c r="W96" s="137"/>
      <c r="X96" s="137"/>
      <c r="Y96" s="137"/>
      <c r="Z96" s="137"/>
      <c r="AA96" s="137"/>
      <c r="AB96" s="137"/>
      <c r="AC96" s="137"/>
      <c r="AD96" s="137"/>
      <c r="AE96" s="137"/>
      <c r="AF96" s="137"/>
      <c r="AG96" s="137"/>
      <c r="AH96" s="137"/>
      <c r="AI96" s="137"/>
    </row>
    <row r="97" spans="1:37" ht="14.1" customHeight="1">
      <c r="B97" s="25" t="s">
        <v>311</v>
      </c>
      <c r="C97" s="73">
        <v>1738638</v>
      </c>
      <c r="D97" s="73">
        <v>1753874</v>
      </c>
      <c r="E97" s="73">
        <v>1753920</v>
      </c>
      <c r="F97" s="73">
        <v>1735109</v>
      </c>
      <c r="G97" s="73">
        <v>2656732.0092520001</v>
      </c>
      <c r="H97" s="73">
        <v>2768995</v>
      </c>
      <c r="I97" s="73">
        <v>2756287</v>
      </c>
      <c r="J97" s="73">
        <v>3000957</v>
      </c>
      <c r="K97" s="73">
        <v>2710596</v>
      </c>
      <c r="L97" s="73">
        <v>2696016.593448</v>
      </c>
      <c r="M97" s="73">
        <v>2564142</v>
      </c>
      <c r="N97" s="73">
        <v>2533404</v>
      </c>
      <c r="O97" s="73">
        <v>3532199</v>
      </c>
      <c r="P97" s="137">
        <v>3454367</v>
      </c>
      <c r="Q97" s="137">
        <v>3578433.9441030002</v>
      </c>
      <c r="R97" s="137">
        <v>3456810.8223740002</v>
      </c>
      <c r="S97" s="137">
        <v>3374986.3590310002</v>
      </c>
      <c r="T97" s="137">
        <v>2700677.6980790002</v>
      </c>
      <c r="U97" s="137">
        <v>2727606.440287</v>
      </c>
      <c r="V97" s="137">
        <v>2834735.7931479998</v>
      </c>
      <c r="W97" s="137">
        <v>2956750.1566590001</v>
      </c>
      <c r="X97" s="137">
        <v>2932916.0530829998</v>
      </c>
      <c r="Y97" s="137">
        <v>4420373.6592530003</v>
      </c>
      <c r="Z97" s="137">
        <v>3680931.3378280001</v>
      </c>
      <c r="AA97" s="137">
        <v>3370810.2180079999</v>
      </c>
      <c r="AB97" s="137">
        <v>3653404.722821</v>
      </c>
      <c r="AC97" s="137">
        <v>3761977.775711</v>
      </c>
      <c r="AD97" s="137">
        <v>3854232.7430170001</v>
      </c>
      <c r="AE97" s="137">
        <v>3382519.2230679998</v>
      </c>
      <c r="AF97" s="137">
        <v>3720381.1243710001</v>
      </c>
      <c r="AG97" s="137">
        <v>3380203.6418340001</v>
      </c>
      <c r="AH97" s="137">
        <v>3358379</v>
      </c>
      <c r="AI97" s="137">
        <v>3982114.3268670002</v>
      </c>
      <c r="AJ97" s="137">
        <v>4147482.5277559999</v>
      </c>
      <c r="AK97" s="137">
        <v>4320941.8310000002</v>
      </c>
    </row>
    <row r="98" spans="1:37" ht="14.1" customHeight="1">
      <c r="B98" s="25" t="s">
        <v>412</v>
      </c>
      <c r="C98" s="250" t="s">
        <v>159</v>
      </c>
      <c r="D98" s="250" t="s">
        <v>159</v>
      </c>
      <c r="E98" s="250" t="s">
        <v>159</v>
      </c>
      <c r="F98" s="250" t="s">
        <v>159</v>
      </c>
      <c r="G98" s="250" t="s">
        <v>159</v>
      </c>
      <c r="H98" s="250" t="s">
        <v>159</v>
      </c>
      <c r="I98" s="250" t="s">
        <v>159</v>
      </c>
      <c r="J98" s="250" t="s">
        <v>159</v>
      </c>
      <c r="K98" s="250" t="s">
        <v>159</v>
      </c>
      <c r="L98" s="250" t="s">
        <v>159</v>
      </c>
      <c r="M98" s="250" t="s">
        <v>159</v>
      </c>
      <c r="N98" s="250" t="s">
        <v>159</v>
      </c>
      <c r="O98" s="250" t="s">
        <v>159</v>
      </c>
      <c r="P98" s="250" t="s">
        <v>159</v>
      </c>
      <c r="Q98" s="250" t="s">
        <v>159</v>
      </c>
      <c r="R98" s="250" t="s">
        <v>159</v>
      </c>
      <c r="S98" s="250" t="s">
        <v>159</v>
      </c>
      <c r="T98" s="250" t="s">
        <v>159</v>
      </c>
      <c r="U98" s="250" t="s">
        <v>159</v>
      </c>
      <c r="V98" s="250" t="s">
        <v>159</v>
      </c>
      <c r="W98" s="250" t="s">
        <v>159</v>
      </c>
      <c r="X98" s="137">
        <v>71281.569497999997</v>
      </c>
      <c r="Y98" s="137">
        <v>70720.228378999993</v>
      </c>
      <c r="Z98" s="137">
        <v>70804.905144000004</v>
      </c>
      <c r="AA98" s="137">
        <v>61867.046693999997</v>
      </c>
      <c r="AB98" s="137">
        <v>62747.200009</v>
      </c>
      <c r="AC98" s="137">
        <v>61056.520299999996</v>
      </c>
      <c r="AD98" s="137">
        <v>61058.514524999999</v>
      </c>
      <c r="AE98" s="137">
        <v>58430.103726000001</v>
      </c>
      <c r="AF98" s="137">
        <v>53312.633844000004</v>
      </c>
      <c r="AG98" s="137">
        <v>55413.052237999997</v>
      </c>
      <c r="AH98" s="137">
        <v>62761</v>
      </c>
      <c r="AI98" s="137">
        <v>54849.839123999998</v>
      </c>
      <c r="AJ98" s="137">
        <v>56428.967387999997</v>
      </c>
      <c r="AK98" s="137">
        <v>57040.218000000001</v>
      </c>
    </row>
    <row r="99" spans="1:37" ht="14.1" customHeight="1">
      <c r="B99" s="25" t="s">
        <v>312</v>
      </c>
      <c r="C99" s="73">
        <v>151258.08622299999</v>
      </c>
      <c r="D99" s="73">
        <v>152960</v>
      </c>
      <c r="E99" s="73">
        <v>154951</v>
      </c>
      <c r="F99" s="73">
        <v>155625</v>
      </c>
      <c r="G99" s="73">
        <v>156501.737295</v>
      </c>
      <c r="H99" s="73">
        <v>149463</v>
      </c>
      <c r="I99" s="73">
        <v>151527</v>
      </c>
      <c r="J99" s="73">
        <v>152696</v>
      </c>
      <c r="K99" s="73">
        <v>0</v>
      </c>
      <c r="L99" s="73">
        <v>0</v>
      </c>
      <c r="M99" s="73">
        <v>0</v>
      </c>
      <c r="N99" s="73">
        <v>0</v>
      </c>
      <c r="O99" s="73">
        <v>79157</v>
      </c>
      <c r="P99" s="137">
        <v>79157</v>
      </c>
      <c r="Q99" s="137">
        <v>82403.365216000006</v>
      </c>
      <c r="R99" s="137">
        <v>83992.270378000001</v>
      </c>
      <c r="S99" s="137">
        <v>85611.847410999995</v>
      </c>
      <c r="T99" s="137">
        <v>87262.688991999996</v>
      </c>
      <c r="U99" s="137">
        <v>88945.399264000007</v>
      </c>
      <c r="V99" s="137">
        <v>90660.594049000007</v>
      </c>
      <c r="W99" s="137">
        <v>92411.308841000005</v>
      </c>
      <c r="X99" s="137">
        <v>94078.496922999999</v>
      </c>
      <c r="Y99" s="137">
        <v>103735.31810799999</v>
      </c>
      <c r="Z99" s="137">
        <v>104328.21841100001</v>
      </c>
      <c r="AA99" s="137">
        <v>99359.525657999999</v>
      </c>
      <c r="AB99" s="137">
        <v>101217.06456699999</v>
      </c>
      <c r="AC99" s="137">
        <v>103076.06101799999</v>
      </c>
      <c r="AD99" s="137">
        <v>104969.22593</v>
      </c>
      <c r="AE99" s="137">
        <v>106865.093569</v>
      </c>
      <c r="AF99" s="137">
        <v>108047.554813</v>
      </c>
      <c r="AG99" s="137">
        <v>109243.09998</v>
      </c>
      <c r="AH99" s="137">
        <v>110452</v>
      </c>
      <c r="AI99" s="137">
        <v>111674.02277900001</v>
      </c>
      <c r="AJ99" s="137">
        <v>113392.79934899999</v>
      </c>
      <c r="AK99" s="137">
        <v>115378.946</v>
      </c>
    </row>
    <row r="100" spans="1:37" ht="14.1" customHeight="1">
      <c r="B100" s="25" t="s">
        <v>313</v>
      </c>
      <c r="C100" s="62">
        <v>539906</v>
      </c>
      <c r="D100" s="62">
        <v>547509</v>
      </c>
      <c r="E100" s="62">
        <v>540144</v>
      </c>
      <c r="F100" s="62">
        <v>540144</v>
      </c>
      <c r="G100" s="62">
        <v>546190.81127800001</v>
      </c>
      <c r="H100" s="62">
        <v>462403</v>
      </c>
      <c r="I100" s="62">
        <v>459514</v>
      </c>
      <c r="J100" s="62">
        <v>521714</v>
      </c>
      <c r="K100" s="62">
        <v>538443</v>
      </c>
      <c r="L100" s="62">
        <v>537194.24448600004</v>
      </c>
      <c r="M100" s="62">
        <v>524806.32216700003</v>
      </c>
      <c r="N100" s="62">
        <v>528003</v>
      </c>
      <c r="O100" s="62">
        <v>520978.1348354824</v>
      </c>
      <c r="P100" s="137">
        <v>517167</v>
      </c>
      <c r="Q100" s="137">
        <v>504785.78746399999</v>
      </c>
      <c r="R100" s="137">
        <v>500588.09132900002</v>
      </c>
      <c r="S100" s="137">
        <v>494132.21263000002</v>
      </c>
      <c r="T100" s="137">
        <v>491057.677004</v>
      </c>
      <c r="U100" s="137">
        <v>490150</v>
      </c>
      <c r="V100" s="137">
        <v>489673.365123</v>
      </c>
      <c r="W100" s="137">
        <v>423893.71477199998</v>
      </c>
      <c r="X100" s="137">
        <v>418670.93827599997</v>
      </c>
      <c r="Y100" s="137">
        <v>378842.05545699998</v>
      </c>
      <c r="Z100" s="137">
        <v>325216.75041600002</v>
      </c>
      <c r="AA100" s="137">
        <v>324264.22515200003</v>
      </c>
      <c r="AB100" s="137">
        <v>348723.52220100001</v>
      </c>
      <c r="AC100" s="137">
        <v>347758.13435800001</v>
      </c>
      <c r="AD100" s="137">
        <v>350982.093376</v>
      </c>
      <c r="AE100" s="137">
        <v>325584.93489799998</v>
      </c>
      <c r="AF100" s="137">
        <v>325243.12970400002</v>
      </c>
      <c r="AG100" s="137">
        <v>336712.316161</v>
      </c>
      <c r="AH100" s="137">
        <v>398199</v>
      </c>
      <c r="AI100" s="137">
        <v>417240</v>
      </c>
      <c r="AJ100" s="137">
        <v>444501.06085299997</v>
      </c>
      <c r="AK100" s="137">
        <v>437255.88500000001</v>
      </c>
    </row>
    <row r="101" spans="1:37" ht="14.1" customHeight="1">
      <c r="B101" s="25" t="s">
        <v>314</v>
      </c>
      <c r="C101" s="73">
        <v>116799</v>
      </c>
      <c r="D101" s="73">
        <v>116705</v>
      </c>
      <c r="E101" s="73">
        <v>116439</v>
      </c>
      <c r="F101" s="73">
        <v>116463</v>
      </c>
      <c r="G101" s="73">
        <v>121068.90711499999</v>
      </c>
      <c r="H101" s="73">
        <v>120859</v>
      </c>
      <c r="I101" s="73">
        <v>125045</v>
      </c>
      <c r="J101" s="73">
        <v>123832</v>
      </c>
      <c r="K101" s="73">
        <v>115571.526035</v>
      </c>
      <c r="L101" s="73">
        <v>115294.91125999999</v>
      </c>
      <c r="M101" s="73">
        <v>115090.808768</v>
      </c>
      <c r="N101" s="73">
        <v>114973.088127</v>
      </c>
      <c r="O101" s="73">
        <v>135615.13540900001</v>
      </c>
      <c r="P101" s="137">
        <v>135331</v>
      </c>
      <c r="Q101" s="137">
        <v>135201.34396500001</v>
      </c>
      <c r="R101" s="137">
        <v>140266.65081299999</v>
      </c>
      <c r="S101" s="137">
        <v>141097.318225</v>
      </c>
      <c r="T101" s="137">
        <v>138659.04988000001</v>
      </c>
      <c r="U101" s="137">
        <v>138230.967072</v>
      </c>
      <c r="V101" s="137">
        <v>137495.71701600001</v>
      </c>
      <c r="W101" s="137">
        <v>134247.615456</v>
      </c>
      <c r="X101" s="137">
        <v>137804.428193</v>
      </c>
      <c r="Y101" s="137">
        <v>137180.58775899999</v>
      </c>
      <c r="Z101" s="137">
        <v>140174.80079099999</v>
      </c>
      <c r="AA101" s="137">
        <v>148176.274772</v>
      </c>
      <c r="AB101" s="137">
        <v>149270.10315499999</v>
      </c>
      <c r="AC101" s="137">
        <v>148503.04928199999</v>
      </c>
      <c r="AD101" s="137">
        <v>150011.21608499999</v>
      </c>
      <c r="AE101" s="137">
        <v>140893.39827400001</v>
      </c>
      <c r="AF101" s="137">
        <v>140568.30940500001</v>
      </c>
      <c r="AG101" s="137">
        <v>141355.58546</v>
      </c>
      <c r="AH101" s="137">
        <v>141743</v>
      </c>
      <c r="AI101" s="137">
        <v>121408</v>
      </c>
      <c r="AJ101" s="137">
        <v>121037.773586</v>
      </c>
      <c r="AK101" s="137">
        <v>120457.666</v>
      </c>
    </row>
    <row r="102" spans="1:37" ht="14.1" customHeight="1">
      <c r="B102" s="25" t="s">
        <v>920</v>
      </c>
      <c r="C102" s="73"/>
      <c r="D102" s="73"/>
      <c r="E102" s="73"/>
      <c r="F102" s="73"/>
      <c r="G102" s="73"/>
      <c r="H102" s="73"/>
      <c r="I102" s="73"/>
      <c r="J102" s="73"/>
      <c r="K102" s="73"/>
      <c r="L102" s="73"/>
      <c r="M102" s="73"/>
      <c r="N102" s="73"/>
      <c r="O102" s="73"/>
      <c r="P102" s="137"/>
      <c r="Q102" s="137"/>
      <c r="R102" s="137"/>
      <c r="S102" s="137"/>
      <c r="T102" s="137"/>
      <c r="U102" s="137"/>
      <c r="V102" s="137"/>
      <c r="W102" s="137"/>
      <c r="X102" s="137"/>
      <c r="Y102" s="137"/>
      <c r="Z102" s="137"/>
      <c r="AA102" s="137"/>
      <c r="AB102" s="137"/>
      <c r="AC102" s="137"/>
      <c r="AD102" s="137"/>
      <c r="AE102" s="137"/>
      <c r="AF102" s="137"/>
      <c r="AG102" s="137"/>
      <c r="AH102" s="137"/>
      <c r="AI102" s="137"/>
      <c r="AJ102" s="137">
        <v>5.1844250000000001</v>
      </c>
      <c r="AK102" s="137">
        <v>0</v>
      </c>
    </row>
    <row r="103" spans="1:37" s="100" customFormat="1" ht="14.1" customHeight="1">
      <c r="A103" s="25"/>
      <c r="B103" s="181" t="s">
        <v>71</v>
      </c>
      <c r="C103" s="140">
        <f t="shared" ref="C103:T103" si="18">SUM(C97:C101)</f>
        <v>2546601.0862229997</v>
      </c>
      <c r="D103" s="140">
        <f t="shared" si="18"/>
        <v>2571048</v>
      </c>
      <c r="E103" s="140">
        <f t="shared" si="18"/>
        <v>2565454</v>
      </c>
      <c r="F103" s="140">
        <f t="shared" si="18"/>
        <v>2547341</v>
      </c>
      <c r="G103" s="140">
        <f t="shared" si="18"/>
        <v>3480493.4649399999</v>
      </c>
      <c r="H103" s="140">
        <f t="shared" si="18"/>
        <v>3501720</v>
      </c>
      <c r="I103" s="140">
        <f t="shared" si="18"/>
        <v>3492373</v>
      </c>
      <c r="J103" s="140">
        <f t="shared" si="18"/>
        <v>3799199</v>
      </c>
      <c r="K103" s="140">
        <f t="shared" si="18"/>
        <v>3364610.5260350001</v>
      </c>
      <c r="L103" s="140">
        <f t="shared" si="18"/>
        <v>3348505.7491939999</v>
      </c>
      <c r="M103" s="140">
        <f t="shared" si="18"/>
        <v>3204039.1309349998</v>
      </c>
      <c r="N103" s="140">
        <f t="shared" si="18"/>
        <v>3176380.0881269998</v>
      </c>
      <c r="O103" s="140">
        <f t="shared" si="18"/>
        <v>4267949.2702444829</v>
      </c>
      <c r="P103" s="140">
        <f t="shared" si="18"/>
        <v>4186022</v>
      </c>
      <c r="Q103" s="140">
        <f t="shared" si="18"/>
        <v>4300824.4407480005</v>
      </c>
      <c r="R103" s="140">
        <f t="shared" si="18"/>
        <v>4181657.8348940001</v>
      </c>
      <c r="S103" s="140">
        <f t="shared" si="18"/>
        <v>4095827.7372970004</v>
      </c>
      <c r="T103" s="140">
        <f t="shared" si="18"/>
        <v>3417657.1139550004</v>
      </c>
      <c r="U103" s="140">
        <f t="shared" ref="U103:AB103" si="19">SUM(U97:U101)</f>
        <v>3444932.8066229997</v>
      </c>
      <c r="V103" s="140">
        <f t="shared" si="19"/>
        <v>3552565.4693359998</v>
      </c>
      <c r="W103" s="140">
        <f t="shared" si="19"/>
        <v>3607302.7957279999</v>
      </c>
      <c r="X103" s="140">
        <f t="shared" si="19"/>
        <v>3654751.4859730001</v>
      </c>
      <c r="Y103" s="140">
        <f t="shared" si="19"/>
        <v>5110851.8489560001</v>
      </c>
      <c r="Z103" s="140">
        <f t="shared" si="19"/>
        <v>4321456.0125899995</v>
      </c>
      <c r="AA103" s="140">
        <f t="shared" si="19"/>
        <v>4004477.2902839994</v>
      </c>
      <c r="AB103" s="140">
        <f t="shared" si="19"/>
        <v>4315362.6127530001</v>
      </c>
      <c r="AC103" s="140">
        <f>SUM(AC97:AC101)</f>
        <v>4422371.5406690007</v>
      </c>
      <c r="AD103" s="140">
        <f>SUM(AD97:AD101)</f>
        <v>4521253.7929330003</v>
      </c>
      <c r="AE103" s="140">
        <f t="shared" ref="AE103:AI103" si="20">SUM(AE97:AE101)</f>
        <v>4014292.7535349997</v>
      </c>
      <c r="AF103" s="140">
        <f t="shared" si="20"/>
        <v>4347552.7521369997</v>
      </c>
      <c r="AG103" s="140">
        <f t="shared" si="20"/>
        <v>4022927.6956730005</v>
      </c>
      <c r="AH103" s="140">
        <f t="shared" si="20"/>
        <v>4071534</v>
      </c>
      <c r="AI103" s="140">
        <f t="shared" si="20"/>
        <v>4687286.1887699999</v>
      </c>
      <c r="AJ103" s="140">
        <f>+SUM(AJ97:AJ102)</f>
        <v>4882848.3133570002</v>
      </c>
      <c r="AK103" s="140">
        <f>+SUM(AK97:AK102)</f>
        <v>5051074.546000001</v>
      </c>
    </row>
    <row r="104" spans="1:37" ht="14.1" customHeight="1">
      <c r="B104" s="25"/>
      <c r="C104" s="73"/>
      <c r="D104" s="73"/>
      <c r="E104" s="73"/>
      <c r="F104" s="73"/>
      <c r="G104" s="73"/>
      <c r="H104" s="73"/>
      <c r="I104" s="73"/>
      <c r="J104" s="73"/>
      <c r="K104" s="73"/>
      <c r="L104" s="73"/>
      <c r="M104" s="73"/>
      <c r="N104" s="73"/>
      <c r="O104" s="73" t="s">
        <v>44</v>
      </c>
      <c r="P104" s="137"/>
      <c r="Q104" s="137"/>
      <c r="R104" s="137"/>
      <c r="S104" s="137" t="s">
        <v>44</v>
      </c>
      <c r="T104" s="137"/>
      <c r="U104" s="137"/>
      <c r="V104" s="137"/>
      <c r="W104" s="137"/>
      <c r="X104" s="137"/>
      <c r="Y104" s="137"/>
      <c r="Z104" s="137"/>
      <c r="AA104" s="137"/>
      <c r="AB104" s="137"/>
      <c r="AC104" s="137"/>
      <c r="AD104" s="137"/>
      <c r="AE104" s="137"/>
      <c r="AF104" s="137"/>
      <c r="AG104" s="137"/>
      <c r="AH104" s="137"/>
      <c r="AI104" s="137"/>
    </row>
    <row r="105" spans="1:37" ht="14.1" customHeight="1">
      <c r="B105" s="100" t="s">
        <v>248</v>
      </c>
      <c r="C105" s="73"/>
      <c r="D105" s="73"/>
      <c r="E105" s="73"/>
      <c r="F105" s="73"/>
      <c r="G105" s="73"/>
      <c r="H105" s="73"/>
      <c r="I105" s="73"/>
      <c r="J105" s="73"/>
      <c r="K105" s="73"/>
      <c r="L105" s="73"/>
      <c r="M105" s="73"/>
      <c r="N105" s="73"/>
      <c r="O105" s="73"/>
      <c r="P105" s="137"/>
      <c r="Q105" s="137"/>
      <c r="R105" s="137"/>
      <c r="S105" s="137"/>
      <c r="T105" s="137"/>
      <c r="U105" s="137"/>
      <c r="V105" s="137"/>
      <c r="W105" s="137"/>
      <c r="X105" s="137"/>
      <c r="Y105" s="137"/>
      <c r="Z105" s="137"/>
      <c r="AA105" s="137"/>
      <c r="AB105" s="137"/>
      <c r="AC105" s="137"/>
      <c r="AD105" s="137"/>
      <c r="AE105" s="137"/>
      <c r="AF105" s="137"/>
      <c r="AG105" s="137"/>
      <c r="AH105" s="137"/>
      <c r="AI105" s="137"/>
    </row>
    <row r="106" spans="1:37" ht="14.1" customHeight="1">
      <c r="B106" s="25" t="s">
        <v>315</v>
      </c>
      <c r="C106" s="73">
        <v>45452</v>
      </c>
      <c r="D106" s="73">
        <v>48775</v>
      </c>
      <c r="E106" s="73">
        <v>45184</v>
      </c>
      <c r="F106" s="73">
        <v>51210</v>
      </c>
      <c r="G106" s="73">
        <v>1070230.2935889999</v>
      </c>
      <c r="H106" s="73">
        <v>1118970</v>
      </c>
      <c r="I106" s="73">
        <v>1105721</v>
      </c>
      <c r="J106" s="73">
        <v>1410937</v>
      </c>
      <c r="K106" s="73">
        <v>1575979.3</v>
      </c>
      <c r="L106" s="73">
        <v>1570673.9864759999</v>
      </c>
      <c r="M106" s="73">
        <v>1627110</v>
      </c>
      <c r="N106" s="73">
        <v>1604659.4942900001</v>
      </c>
      <c r="O106" s="73">
        <v>513957</v>
      </c>
      <c r="P106" s="137">
        <v>518525</v>
      </c>
      <c r="Q106" s="137">
        <v>449125.75967200001</v>
      </c>
      <c r="R106" s="137">
        <v>501959.549107</v>
      </c>
      <c r="S106" s="137">
        <v>578222.54450900003</v>
      </c>
      <c r="T106" s="137">
        <v>442540.26234399999</v>
      </c>
      <c r="U106" s="137">
        <v>476541.52835199999</v>
      </c>
      <c r="V106" s="137">
        <v>518877.671577</v>
      </c>
      <c r="W106" s="137">
        <v>669054.16815200006</v>
      </c>
      <c r="X106" s="137">
        <v>735797.66159699997</v>
      </c>
      <c r="Y106" s="137">
        <v>1203651.6013509999</v>
      </c>
      <c r="Z106" s="137">
        <v>988933.97861500003</v>
      </c>
      <c r="AA106" s="137">
        <v>586270.77205300005</v>
      </c>
      <c r="AB106" s="137">
        <v>842337.41791199998</v>
      </c>
      <c r="AC106" s="137">
        <v>819121.84947500005</v>
      </c>
      <c r="AD106" s="137">
        <v>713308.38569300005</v>
      </c>
      <c r="AE106" s="137">
        <v>483336.14570200001</v>
      </c>
      <c r="AF106" s="137">
        <v>498103.93838499999</v>
      </c>
      <c r="AG106" s="137">
        <v>952113.06718400004</v>
      </c>
      <c r="AH106" s="137">
        <v>1181296</v>
      </c>
      <c r="AI106" s="137">
        <v>492082.96645499999</v>
      </c>
      <c r="AJ106" s="137">
        <v>671874.82811700006</v>
      </c>
      <c r="AK106" s="137">
        <v>834403.56200000003</v>
      </c>
    </row>
    <row r="107" spans="1:37" ht="14.1" customHeight="1">
      <c r="B107" s="25" t="s">
        <v>533</v>
      </c>
      <c r="C107" s="250" t="s">
        <v>159</v>
      </c>
      <c r="D107" s="250" t="s">
        <v>159</v>
      </c>
      <c r="E107" s="250" t="s">
        <v>159</v>
      </c>
      <c r="F107" s="250" t="s">
        <v>159</v>
      </c>
      <c r="G107" s="250" t="s">
        <v>159</v>
      </c>
      <c r="H107" s="250" t="s">
        <v>159</v>
      </c>
      <c r="I107" s="250" t="s">
        <v>159</v>
      </c>
      <c r="J107" s="250" t="s">
        <v>159</v>
      </c>
      <c r="K107" s="250" t="s">
        <v>159</v>
      </c>
      <c r="L107" s="250" t="s">
        <v>159</v>
      </c>
      <c r="M107" s="250" t="s">
        <v>159</v>
      </c>
      <c r="N107" s="250" t="s">
        <v>159</v>
      </c>
      <c r="O107" s="250" t="s">
        <v>159</v>
      </c>
      <c r="P107" s="250" t="s">
        <v>159</v>
      </c>
      <c r="Q107" s="250" t="s">
        <v>159</v>
      </c>
      <c r="R107" s="250" t="s">
        <v>159</v>
      </c>
      <c r="S107" s="250" t="s">
        <v>159</v>
      </c>
      <c r="T107" s="250" t="s">
        <v>159</v>
      </c>
      <c r="U107" s="250" t="s">
        <v>159</v>
      </c>
      <c r="V107" s="250" t="s">
        <v>159</v>
      </c>
      <c r="W107" s="250" t="s">
        <v>159</v>
      </c>
      <c r="X107" s="250" t="s">
        <v>159</v>
      </c>
      <c r="Y107" s="250" t="s">
        <v>159</v>
      </c>
      <c r="Z107" s="250" t="s">
        <v>159</v>
      </c>
      <c r="AA107" s="250" t="s">
        <v>159</v>
      </c>
      <c r="AB107" s="250" t="s">
        <v>159</v>
      </c>
      <c r="AC107" s="137">
        <v>14512.102846</v>
      </c>
      <c r="AD107" s="137">
        <v>10793.716537</v>
      </c>
      <c r="AE107" s="137">
        <v>43473.678802000002</v>
      </c>
      <c r="AF107" s="250" t="s">
        <v>159</v>
      </c>
      <c r="AG107" s="250" t="s">
        <v>159</v>
      </c>
      <c r="AH107" s="250" t="s">
        <v>159</v>
      </c>
      <c r="AI107" s="250" t="s">
        <v>159</v>
      </c>
      <c r="AJ107" s="250" t="s">
        <v>159</v>
      </c>
      <c r="AK107" s="250">
        <v>0</v>
      </c>
    </row>
    <row r="108" spans="1:37" ht="14.1" customHeight="1">
      <c r="B108" s="25" t="s">
        <v>412</v>
      </c>
      <c r="C108" s="179" t="s">
        <v>159</v>
      </c>
      <c r="D108" s="179" t="s">
        <v>159</v>
      </c>
      <c r="E108" s="179" t="s">
        <v>159</v>
      </c>
      <c r="F108" s="179" t="s">
        <v>159</v>
      </c>
      <c r="G108" s="179" t="s">
        <v>159</v>
      </c>
      <c r="H108" s="179" t="s">
        <v>159</v>
      </c>
      <c r="I108" s="179" t="s">
        <v>159</v>
      </c>
      <c r="J108" s="179" t="s">
        <v>159</v>
      </c>
      <c r="K108" s="179" t="s">
        <v>159</v>
      </c>
      <c r="L108" s="179" t="s">
        <v>159</v>
      </c>
      <c r="M108" s="179" t="s">
        <v>159</v>
      </c>
      <c r="N108" s="179" t="s">
        <v>159</v>
      </c>
      <c r="O108" s="179" t="s">
        <v>159</v>
      </c>
      <c r="P108" s="179" t="s">
        <v>159</v>
      </c>
      <c r="Q108" s="179" t="s">
        <v>159</v>
      </c>
      <c r="R108" s="179" t="s">
        <v>159</v>
      </c>
      <c r="S108" s="179" t="s">
        <v>159</v>
      </c>
      <c r="T108" s="179" t="s">
        <v>159</v>
      </c>
      <c r="U108" s="179" t="s">
        <v>159</v>
      </c>
      <c r="V108" s="179" t="s">
        <v>159</v>
      </c>
      <c r="W108" s="179" t="s">
        <v>159</v>
      </c>
      <c r="X108" s="137">
        <v>9717.8644590000004</v>
      </c>
      <c r="Y108" s="137">
        <v>6931.8489820000004</v>
      </c>
      <c r="Z108" s="137">
        <v>4307.6317920000001</v>
      </c>
      <c r="AA108" s="137">
        <v>10942.767313</v>
      </c>
      <c r="AB108" s="137">
        <v>8522.1785299999992</v>
      </c>
      <c r="AC108" s="137">
        <v>6306.5892080000003</v>
      </c>
      <c r="AD108" s="137">
        <v>3754.5109109999999</v>
      </c>
      <c r="AE108" s="137">
        <v>2795.3817730000001</v>
      </c>
      <c r="AF108" s="137">
        <v>7392.0425960000002</v>
      </c>
      <c r="AG108" s="137">
        <v>4653.5341090000002</v>
      </c>
      <c r="AH108" s="137">
        <v>2620</v>
      </c>
      <c r="AI108" s="137">
        <v>13408.029365</v>
      </c>
      <c r="AJ108" s="137">
        <v>10108.298379</v>
      </c>
      <c r="AK108" s="137">
        <v>6790.3850000000002</v>
      </c>
    </row>
    <row r="109" spans="1:37" ht="14.1" customHeight="1">
      <c r="B109" s="25" t="s">
        <v>316</v>
      </c>
      <c r="C109" s="73">
        <v>219131.368663</v>
      </c>
      <c r="D109" s="73">
        <v>345408</v>
      </c>
      <c r="E109" s="73">
        <v>322776</v>
      </c>
      <c r="F109" s="73">
        <v>300478</v>
      </c>
      <c r="G109" s="73">
        <v>439521.65271599998</v>
      </c>
      <c r="H109" s="73">
        <v>506588</v>
      </c>
      <c r="I109" s="73">
        <v>382453</v>
      </c>
      <c r="J109" s="73">
        <v>480381</v>
      </c>
      <c r="K109" s="73">
        <v>699783</v>
      </c>
      <c r="L109" s="73">
        <v>827347.082329</v>
      </c>
      <c r="M109" s="73">
        <v>657667.44106099999</v>
      </c>
      <c r="N109" s="73">
        <v>452281.94258700003</v>
      </c>
      <c r="O109" s="73">
        <v>261794.67289599997</v>
      </c>
      <c r="P109" s="137">
        <v>580969</v>
      </c>
      <c r="Q109" s="137">
        <v>442189.635641</v>
      </c>
      <c r="R109" s="137">
        <v>412203.375306</v>
      </c>
      <c r="S109" s="137">
        <v>414115.40274599998</v>
      </c>
      <c r="T109" s="137">
        <v>591694.82028300001</v>
      </c>
      <c r="U109" s="137">
        <v>609505.50832799997</v>
      </c>
      <c r="V109" s="137">
        <v>514973.93413499999</v>
      </c>
      <c r="W109" s="137">
        <v>627645.56828000001</v>
      </c>
      <c r="X109" s="137">
        <v>676636.66743000003</v>
      </c>
      <c r="Y109" s="137">
        <v>701026.78042099997</v>
      </c>
      <c r="Z109" s="137">
        <v>629065.69329700002</v>
      </c>
      <c r="AA109" s="137">
        <v>616080.80330100004</v>
      </c>
      <c r="AB109" s="137">
        <v>935250.43599999999</v>
      </c>
      <c r="AC109" s="137">
        <v>802413.98603399994</v>
      </c>
      <c r="AD109" s="137">
        <v>602846.56879499997</v>
      </c>
      <c r="AE109" s="137">
        <v>692407.60016699997</v>
      </c>
      <c r="AF109" s="137">
        <v>908470.29104399995</v>
      </c>
      <c r="AG109" s="137">
        <v>762664.08024300006</v>
      </c>
      <c r="AH109" s="137">
        <v>907646</v>
      </c>
      <c r="AI109" s="137">
        <v>831295</v>
      </c>
      <c r="AJ109" s="137">
        <v>1182202.8097309999</v>
      </c>
      <c r="AK109" s="137">
        <v>995502.32299999997</v>
      </c>
    </row>
    <row r="110" spans="1:37" ht="14.1" customHeight="1">
      <c r="B110" s="25" t="s">
        <v>317</v>
      </c>
      <c r="C110" s="73">
        <v>29557.731350999999</v>
      </c>
      <c r="D110" s="73">
        <v>29975</v>
      </c>
      <c r="E110" s="73">
        <v>31405</v>
      </c>
      <c r="F110" s="73">
        <v>26891</v>
      </c>
      <c r="G110" s="73">
        <v>34938.427371999998</v>
      </c>
      <c r="H110" s="73">
        <v>37224</v>
      </c>
      <c r="I110" s="73">
        <v>37424</v>
      </c>
      <c r="J110" s="73">
        <v>36840</v>
      </c>
      <c r="K110" s="73">
        <v>193297.99286599999</v>
      </c>
      <c r="L110" s="73">
        <v>200205.95096300001</v>
      </c>
      <c r="M110" s="73">
        <v>203100.36077999999</v>
      </c>
      <c r="N110" s="73">
        <v>204368</v>
      </c>
      <c r="O110" s="73">
        <v>200574</v>
      </c>
      <c r="P110" s="137">
        <v>205701</v>
      </c>
      <c r="Q110" s="137">
        <v>207609.244661</v>
      </c>
      <c r="R110" s="137">
        <v>209170.639738</v>
      </c>
      <c r="S110" s="137">
        <v>209731.36713900001</v>
      </c>
      <c r="T110" s="137">
        <v>213050.22508999999</v>
      </c>
      <c r="U110" s="137">
        <v>216942.498506</v>
      </c>
      <c r="V110" s="137">
        <v>233849.56314499999</v>
      </c>
      <c r="W110" s="137">
        <v>234358.849238</v>
      </c>
      <c r="X110" s="137">
        <v>237330.762823</v>
      </c>
      <c r="Y110" s="137">
        <v>240537.97484099999</v>
      </c>
      <c r="Z110" s="137">
        <v>241021.955197</v>
      </c>
      <c r="AA110" s="137">
        <v>232419.58940900001</v>
      </c>
      <c r="AB110" s="137">
        <v>233611.096704</v>
      </c>
      <c r="AC110" s="137">
        <v>224869.56151699999</v>
      </c>
      <c r="AD110" s="137">
        <v>216830.11176299999</v>
      </c>
      <c r="AE110" s="137">
        <v>217789.02993799999</v>
      </c>
      <c r="AF110" s="137">
        <v>220082.03107200001</v>
      </c>
      <c r="AG110" s="137">
        <v>222150.06927000001</v>
      </c>
      <c r="AH110" s="137">
        <v>222180</v>
      </c>
      <c r="AI110" s="137">
        <v>159928.45613800001</v>
      </c>
      <c r="AJ110" s="137">
        <v>17522.202017</v>
      </c>
      <c r="AK110" s="137">
        <v>19366.438999999998</v>
      </c>
    </row>
    <row r="111" spans="1:37" ht="14.1" customHeight="1">
      <c r="B111" s="25" t="s">
        <v>318</v>
      </c>
      <c r="C111" s="73">
        <v>134788.312832</v>
      </c>
      <c r="D111" s="73">
        <v>167444</v>
      </c>
      <c r="E111" s="73">
        <v>180997</v>
      </c>
      <c r="F111" s="73">
        <v>196655</v>
      </c>
      <c r="G111" s="73">
        <v>105079.724244</v>
      </c>
      <c r="H111" s="73">
        <v>167263</v>
      </c>
      <c r="I111" s="73">
        <v>136818</v>
      </c>
      <c r="J111" s="73">
        <v>159468</v>
      </c>
      <c r="K111" s="73">
        <v>58787.718008999997</v>
      </c>
      <c r="L111" s="73">
        <v>140372.74421999999</v>
      </c>
      <c r="M111" s="73">
        <v>147968.33055000001</v>
      </c>
      <c r="N111" s="73">
        <v>163186.21907799999</v>
      </c>
      <c r="O111" s="73">
        <v>44981</v>
      </c>
      <c r="P111" s="137">
        <v>91987</v>
      </c>
      <c r="Q111" s="137">
        <v>107156.00496599999</v>
      </c>
      <c r="R111" s="137">
        <v>136577.40926099999</v>
      </c>
      <c r="S111" s="137">
        <v>48207.882515999998</v>
      </c>
      <c r="T111" s="137">
        <v>67673.980890999999</v>
      </c>
      <c r="U111" s="137">
        <v>100137.858326</v>
      </c>
      <c r="V111" s="137">
        <v>128085.213921</v>
      </c>
      <c r="W111" s="137">
        <v>53990.828158999997</v>
      </c>
      <c r="X111" s="137">
        <v>82603.471737</v>
      </c>
      <c r="Y111" s="137">
        <v>127662.21589799999</v>
      </c>
      <c r="Z111" s="137">
        <v>196159.748593</v>
      </c>
      <c r="AA111" s="137">
        <v>147010.63485900001</v>
      </c>
      <c r="AB111" s="137">
        <v>181732.23144800001</v>
      </c>
      <c r="AC111" s="137">
        <v>120546.50757</v>
      </c>
      <c r="AD111" s="137">
        <v>177200.96178899999</v>
      </c>
      <c r="AE111" s="137">
        <v>70447.932365000001</v>
      </c>
      <c r="AF111" s="137">
        <v>112267.11081300001</v>
      </c>
      <c r="AG111" s="137">
        <v>119808.69905</v>
      </c>
      <c r="AH111" s="137">
        <v>169870</v>
      </c>
      <c r="AI111" s="137">
        <v>72561.852429999999</v>
      </c>
      <c r="AJ111" s="137">
        <v>153278.00815400001</v>
      </c>
      <c r="AK111" s="137">
        <v>232274.85699999999</v>
      </c>
    </row>
    <row r="112" spans="1:37" ht="14.1" customHeight="1">
      <c r="B112" s="25" t="s">
        <v>319</v>
      </c>
      <c r="C112" s="73">
        <v>10764</v>
      </c>
      <c r="D112" s="73">
        <v>9429</v>
      </c>
      <c r="E112" s="73">
        <v>8619</v>
      </c>
      <c r="F112" s="73">
        <v>12638</v>
      </c>
      <c r="G112" s="73">
        <v>13645.820598</v>
      </c>
      <c r="H112" s="73">
        <v>15363</v>
      </c>
      <c r="I112" s="73">
        <v>18018</v>
      </c>
      <c r="J112" s="73">
        <v>23721</v>
      </c>
      <c r="K112" s="73">
        <v>23593</v>
      </c>
      <c r="L112" s="73">
        <v>27504.840809000001</v>
      </c>
      <c r="M112" s="73">
        <v>18838.438876</v>
      </c>
      <c r="N112" s="73">
        <v>25028.401269000002</v>
      </c>
      <c r="O112" s="73">
        <v>35848.857551000001</v>
      </c>
      <c r="P112" s="137">
        <v>27199</v>
      </c>
      <c r="Q112" s="137">
        <v>28144.393076</v>
      </c>
      <c r="R112" s="137">
        <v>37234.705363000001</v>
      </c>
      <c r="S112" s="137">
        <v>38880.271021</v>
      </c>
      <c r="T112" s="137">
        <v>32565.360941999999</v>
      </c>
      <c r="U112" s="137">
        <v>32370.926044</v>
      </c>
      <c r="V112" s="137">
        <v>43763.945615999997</v>
      </c>
      <c r="W112" s="137">
        <v>46128.259511999997</v>
      </c>
      <c r="X112" s="137">
        <v>40070.393322000004</v>
      </c>
      <c r="Y112" s="137">
        <v>40623.857129000004</v>
      </c>
      <c r="Z112" s="137">
        <v>50869.694031999999</v>
      </c>
      <c r="AA112" s="137">
        <v>53987.761609000001</v>
      </c>
      <c r="AB112" s="137">
        <v>38570.238510000003</v>
      </c>
      <c r="AC112" s="137">
        <v>42886.566412</v>
      </c>
      <c r="AD112" s="137">
        <v>59018.473277999998</v>
      </c>
      <c r="AE112" s="137">
        <v>59718.489708000001</v>
      </c>
      <c r="AF112" s="137">
        <v>41719.267577999999</v>
      </c>
      <c r="AG112" s="137">
        <v>48910.021079999999</v>
      </c>
      <c r="AH112" s="137">
        <v>63931</v>
      </c>
      <c r="AI112" s="137">
        <v>63542.240793999998</v>
      </c>
      <c r="AJ112" s="137">
        <v>49538.028888000001</v>
      </c>
      <c r="AK112" s="137">
        <v>53859.726000000002</v>
      </c>
    </row>
    <row r="113" spans="1:37" ht="14.1" customHeight="1">
      <c r="A113" s="100"/>
      <c r="B113" s="25" t="s">
        <v>320</v>
      </c>
      <c r="C113" s="73">
        <v>13712</v>
      </c>
      <c r="D113" s="73">
        <v>12821</v>
      </c>
      <c r="E113" s="73">
        <v>12567</v>
      </c>
      <c r="F113" s="73">
        <v>20665</v>
      </c>
      <c r="G113" s="73">
        <v>19512.024045999999</v>
      </c>
      <c r="H113" s="73">
        <v>12876</v>
      </c>
      <c r="I113" s="73">
        <v>18592</v>
      </c>
      <c r="J113" s="73">
        <v>14871</v>
      </c>
      <c r="K113" s="73">
        <v>15188.662149</v>
      </c>
      <c r="L113" s="73">
        <v>14586.700566</v>
      </c>
      <c r="M113" s="73">
        <v>23908.899956000001</v>
      </c>
      <c r="N113" s="73">
        <v>24552</v>
      </c>
      <c r="O113" s="73">
        <v>24133.032254000002</v>
      </c>
      <c r="P113" s="137">
        <v>17900</v>
      </c>
      <c r="Q113" s="137">
        <v>14849.0908</v>
      </c>
      <c r="R113" s="137">
        <v>18497.016686999999</v>
      </c>
      <c r="S113" s="137">
        <v>33093.411409</v>
      </c>
      <c r="T113" s="137">
        <v>31716.029284</v>
      </c>
      <c r="U113" s="137">
        <v>28257.828880000001</v>
      </c>
      <c r="V113" s="137">
        <v>24987.265497</v>
      </c>
      <c r="W113" s="137">
        <v>49014.672731999999</v>
      </c>
      <c r="X113" s="137">
        <v>41790.142843000001</v>
      </c>
      <c r="Y113" s="137">
        <v>55925.642798000001</v>
      </c>
      <c r="Z113" s="137">
        <v>48739.334307999998</v>
      </c>
      <c r="AA113" s="137">
        <v>52554.769776000001</v>
      </c>
      <c r="AB113" s="137">
        <v>51729.069054</v>
      </c>
      <c r="AC113" s="137">
        <v>36976.353072999998</v>
      </c>
      <c r="AD113" s="137">
        <v>35227.548843999997</v>
      </c>
      <c r="AE113" s="137">
        <v>30178.961960000001</v>
      </c>
      <c r="AF113" s="137">
        <v>30522.060086000001</v>
      </c>
      <c r="AG113" s="137">
        <v>29874.542006</v>
      </c>
      <c r="AH113" s="137">
        <v>28809</v>
      </c>
      <c r="AI113" s="137">
        <v>31690.879120000001</v>
      </c>
      <c r="AJ113" s="137">
        <v>32361.665132999999</v>
      </c>
      <c r="AK113" s="137">
        <v>70331.698000000004</v>
      </c>
    </row>
    <row r="114" spans="1:37" ht="14.1" customHeight="1">
      <c r="A114" s="100"/>
      <c r="B114" s="25" t="s">
        <v>662</v>
      </c>
      <c r="C114" s="250" t="s">
        <v>159</v>
      </c>
      <c r="D114" s="250" t="s">
        <v>159</v>
      </c>
      <c r="E114" s="250" t="s">
        <v>159</v>
      </c>
      <c r="F114" s="250" t="s">
        <v>159</v>
      </c>
      <c r="G114" s="250" t="s">
        <v>159</v>
      </c>
      <c r="H114" s="250" t="s">
        <v>159</v>
      </c>
      <c r="I114" s="250" t="s">
        <v>159</v>
      </c>
      <c r="J114" s="250" t="s">
        <v>159</v>
      </c>
      <c r="K114" s="250" t="s">
        <v>159</v>
      </c>
      <c r="L114" s="250" t="s">
        <v>159</v>
      </c>
      <c r="M114" s="250" t="s">
        <v>159</v>
      </c>
      <c r="N114" s="250" t="s">
        <v>159</v>
      </c>
      <c r="O114" s="250" t="s">
        <v>159</v>
      </c>
      <c r="P114" s="250" t="s">
        <v>159</v>
      </c>
      <c r="Q114" s="250" t="s">
        <v>159</v>
      </c>
      <c r="R114" s="250" t="s">
        <v>159</v>
      </c>
      <c r="S114" s="250" t="s">
        <v>159</v>
      </c>
      <c r="T114" s="250" t="s">
        <v>159</v>
      </c>
      <c r="U114" s="250" t="s">
        <v>159</v>
      </c>
      <c r="V114" s="250" t="s">
        <v>159</v>
      </c>
      <c r="W114" s="250" t="s">
        <v>159</v>
      </c>
      <c r="X114" s="250" t="s">
        <v>159</v>
      </c>
      <c r="Y114" s="250" t="s">
        <v>159</v>
      </c>
      <c r="Z114" s="250" t="s">
        <v>159</v>
      </c>
      <c r="AA114" s="250" t="s">
        <v>159</v>
      </c>
      <c r="AB114" s="250" t="s">
        <v>159</v>
      </c>
      <c r="AC114" s="250" t="s">
        <v>159</v>
      </c>
      <c r="AD114" s="250" t="s">
        <v>159</v>
      </c>
      <c r="AE114" s="137">
        <v>455563.96603399998</v>
      </c>
      <c r="AF114" s="137">
        <v>500661.67200600001</v>
      </c>
      <c r="AG114" s="137">
        <v>392234.378386</v>
      </c>
      <c r="AH114" s="137">
        <v>345051</v>
      </c>
      <c r="AI114" s="137">
        <v>7771.6505429999997</v>
      </c>
      <c r="AJ114" s="137">
        <v>3695.2043450000001</v>
      </c>
      <c r="AK114" s="137">
        <v>3588.6889999999999</v>
      </c>
    </row>
    <row r="115" spans="1:37" s="100" customFormat="1" ht="14.1" customHeight="1">
      <c r="A115" s="25"/>
      <c r="B115" s="29" t="s">
        <v>64</v>
      </c>
      <c r="C115" s="140">
        <f t="shared" ref="C115:O115" si="21">SUM(C106:C113)</f>
        <v>453405.41284600005</v>
      </c>
      <c r="D115" s="140">
        <f t="shared" si="21"/>
        <v>613852</v>
      </c>
      <c r="E115" s="140">
        <f t="shared" si="21"/>
        <v>601548</v>
      </c>
      <c r="F115" s="140">
        <f t="shared" si="21"/>
        <v>608537</v>
      </c>
      <c r="G115" s="76">
        <f t="shared" si="21"/>
        <v>1682927.9425649997</v>
      </c>
      <c r="H115" s="76">
        <f t="shared" si="21"/>
        <v>1858284</v>
      </c>
      <c r="I115" s="140">
        <f t="shared" si="21"/>
        <v>1699026</v>
      </c>
      <c r="J115" s="140">
        <f t="shared" si="21"/>
        <v>2126218</v>
      </c>
      <c r="K115" s="140">
        <f t="shared" si="21"/>
        <v>2566629.6730240001</v>
      </c>
      <c r="L115" s="140">
        <f t="shared" si="21"/>
        <v>2780691.3053629994</v>
      </c>
      <c r="M115" s="140">
        <f t="shared" si="21"/>
        <v>2678593.4712230004</v>
      </c>
      <c r="N115" s="140">
        <f t="shared" si="21"/>
        <v>2474076.0572240003</v>
      </c>
      <c r="O115" s="140">
        <f t="shared" si="21"/>
        <v>1081288.5627009999</v>
      </c>
      <c r="P115" s="140">
        <f t="shared" ref="P115:AC115" si="22">SUM(P106:P114)</f>
        <v>1442281</v>
      </c>
      <c r="Q115" s="140">
        <f t="shared" si="22"/>
        <v>1249074.1288160002</v>
      </c>
      <c r="R115" s="140">
        <f t="shared" si="22"/>
        <v>1315642.6954620001</v>
      </c>
      <c r="S115" s="140">
        <f t="shared" si="22"/>
        <v>1322250.87934</v>
      </c>
      <c r="T115" s="140">
        <f t="shared" si="22"/>
        <v>1379240.6788340001</v>
      </c>
      <c r="U115" s="140">
        <f t="shared" si="22"/>
        <v>1463756.1484359999</v>
      </c>
      <c r="V115" s="140">
        <f t="shared" si="22"/>
        <v>1464537.5938910001</v>
      </c>
      <c r="W115" s="140">
        <f t="shared" si="22"/>
        <v>1680192.346073</v>
      </c>
      <c r="X115" s="140">
        <f t="shared" si="22"/>
        <v>1823946.9642109999</v>
      </c>
      <c r="Y115" s="140">
        <f t="shared" si="22"/>
        <v>2376359.92142</v>
      </c>
      <c r="Z115" s="140">
        <f t="shared" si="22"/>
        <v>2159098.035834</v>
      </c>
      <c r="AA115" s="140">
        <f t="shared" si="22"/>
        <v>1699267.0983200001</v>
      </c>
      <c r="AB115" s="140">
        <f t="shared" si="22"/>
        <v>2291752.6681579999</v>
      </c>
      <c r="AC115" s="140">
        <f t="shared" si="22"/>
        <v>2067633.5161349999</v>
      </c>
      <c r="AD115" s="140">
        <f>SUM(AD106:AD114)</f>
        <v>1818980.2776100002</v>
      </c>
      <c r="AE115" s="140">
        <f t="shared" ref="AE115:AF115" si="23">SUM(AE106:AE114)</f>
        <v>2055711.1864490001</v>
      </c>
      <c r="AF115" s="140">
        <f t="shared" si="23"/>
        <v>2319218.4135799999</v>
      </c>
      <c r="AG115" s="140">
        <f>SUM(AG106:AG114)</f>
        <v>2532408.3913280005</v>
      </c>
      <c r="AH115" s="140">
        <f>SUM(AH106:AH114)</f>
        <v>2921403</v>
      </c>
      <c r="AI115" s="140">
        <f>SUM(AI106:AI114)</f>
        <v>1672281.0748450002</v>
      </c>
      <c r="AJ115" s="140">
        <f>+SUM(AJ106:AJ114)</f>
        <v>2120581.0447639995</v>
      </c>
      <c r="AK115" s="140">
        <f>+SUM(AK106:AK114)</f>
        <v>2216117.6789999995</v>
      </c>
    </row>
    <row r="116" spans="1:37" ht="14.1" customHeight="1">
      <c r="A116" s="100"/>
      <c r="B116" s="100" t="s">
        <v>72</v>
      </c>
      <c r="C116" s="74">
        <f t="shared" ref="C116:U116" si="24">+C115+C103</f>
        <v>3000006.4990689997</v>
      </c>
      <c r="D116" s="74">
        <f t="shared" si="24"/>
        <v>3184900</v>
      </c>
      <c r="E116" s="74">
        <f t="shared" si="24"/>
        <v>3167002</v>
      </c>
      <c r="F116" s="74">
        <f t="shared" si="24"/>
        <v>3155878</v>
      </c>
      <c r="G116" s="74">
        <f t="shared" si="24"/>
        <v>5163421.407505</v>
      </c>
      <c r="H116" s="74">
        <f t="shared" si="24"/>
        <v>5360004</v>
      </c>
      <c r="I116" s="74">
        <f t="shared" si="24"/>
        <v>5191399</v>
      </c>
      <c r="J116" s="74">
        <f t="shared" si="24"/>
        <v>5925417</v>
      </c>
      <c r="K116" s="74">
        <f t="shared" si="24"/>
        <v>5931240.1990590002</v>
      </c>
      <c r="L116" s="74">
        <f t="shared" si="24"/>
        <v>6129197.0545569994</v>
      </c>
      <c r="M116" s="74">
        <f t="shared" si="24"/>
        <v>5882632.6021580007</v>
      </c>
      <c r="N116" s="74">
        <f t="shared" si="24"/>
        <v>5650456.1453510001</v>
      </c>
      <c r="O116" s="74">
        <f t="shared" si="24"/>
        <v>5349237.8329454828</v>
      </c>
      <c r="P116" s="139">
        <f t="shared" si="24"/>
        <v>5628303</v>
      </c>
      <c r="Q116" s="139">
        <f t="shared" si="24"/>
        <v>5549898.5695640007</v>
      </c>
      <c r="R116" s="139">
        <f t="shared" si="24"/>
        <v>5497300.5303560002</v>
      </c>
      <c r="S116" s="139">
        <f t="shared" si="24"/>
        <v>5418078.6166370008</v>
      </c>
      <c r="T116" s="139">
        <f t="shared" si="24"/>
        <v>4796897.792789001</v>
      </c>
      <c r="U116" s="139">
        <f t="shared" si="24"/>
        <v>4908688.9550589994</v>
      </c>
      <c r="V116" s="139">
        <f t="shared" ref="V116:AB116" si="25">+V115+V103</f>
        <v>5017103.0632269997</v>
      </c>
      <c r="W116" s="139">
        <f t="shared" si="25"/>
        <v>5287495.1418009996</v>
      </c>
      <c r="X116" s="139">
        <f t="shared" si="25"/>
        <v>5478698.4501839997</v>
      </c>
      <c r="Y116" s="139">
        <f t="shared" si="25"/>
        <v>7487211.7703760006</v>
      </c>
      <c r="Z116" s="139">
        <f t="shared" si="25"/>
        <v>6480554.0484239999</v>
      </c>
      <c r="AA116" s="139">
        <f t="shared" si="25"/>
        <v>5703744.3886039993</v>
      </c>
      <c r="AB116" s="139">
        <f t="shared" si="25"/>
        <v>6607115.2809110004</v>
      </c>
      <c r="AC116" s="139">
        <f>+AC115+AC103</f>
        <v>6490005.0568040004</v>
      </c>
      <c r="AD116" s="139">
        <f>+AD115+AD103</f>
        <v>6340234.0705430005</v>
      </c>
      <c r="AE116" s="139">
        <f t="shared" ref="AE116:AG116" si="26">+AE115+AE103</f>
        <v>6070003.9399839994</v>
      </c>
      <c r="AF116" s="139">
        <f>+AF115+AF103</f>
        <v>6666771.1657170001</v>
      </c>
      <c r="AG116" s="139">
        <f t="shared" si="26"/>
        <v>6555336.0870010015</v>
      </c>
      <c r="AH116" s="139">
        <f t="shared" ref="AH116:AK116" si="27">+AH115+AH103</f>
        <v>6992937</v>
      </c>
      <c r="AI116" s="139">
        <f t="shared" si="27"/>
        <v>6359567.2636150001</v>
      </c>
      <c r="AJ116" s="139">
        <f t="shared" si="27"/>
        <v>7003429.3581210002</v>
      </c>
      <c r="AK116" s="139">
        <f t="shared" si="27"/>
        <v>7267192.2250000006</v>
      </c>
    </row>
    <row r="117" spans="1:37" ht="14.1" customHeight="1">
      <c r="A117" s="100"/>
      <c r="B117" s="100"/>
      <c r="C117" s="74"/>
      <c r="D117" s="74"/>
      <c r="E117" s="74"/>
      <c r="F117" s="74"/>
      <c r="G117" s="74"/>
      <c r="H117" s="74"/>
      <c r="I117" s="74"/>
      <c r="J117" s="74"/>
      <c r="K117" s="74"/>
      <c r="L117" s="74"/>
      <c r="M117" s="74"/>
      <c r="N117" s="74"/>
      <c r="O117" s="74"/>
      <c r="P117" s="139"/>
      <c r="Q117" s="139"/>
      <c r="R117" s="139"/>
      <c r="S117" s="139"/>
      <c r="T117" s="139"/>
      <c r="U117" s="139"/>
      <c r="V117" s="139"/>
      <c r="W117" s="139"/>
      <c r="X117" s="139"/>
      <c r="Y117" s="139"/>
      <c r="Z117" s="139"/>
      <c r="AA117" s="139"/>
      <c r="AB117" s="139"/>
      <c r="AC117" s="139"/>
      <c r="AD117" s="139"/>
      <c r="AE117" s="139"/>
      <c r="AF117" s="139"/>
      <c r="AG117" s="139"/>
      <c r="AH117" s="139"/>
      <c r="AI117" s="139"/>
      <c r="AJ117" s="139"/>
      <c r="AK117" s="139"/>
    </row>
    <row r="118" spans="1:37" s="100" customFormat="1" ht="14.1" customHeight="1">
      <c r="A118" s="25"/>
      <c r="B118" s="182" t="s">
        <v>114</v>
      </c>
      <c r="C118" s="76">
        <f>+C94+C103+C115</f>
        <v>7048906.0784264738</v>
      </c>
      <c r="D118" s="76">
        <f>+D94+D103+D115</f>
        <v>7546123</v>
      </c>
      <c r="E118" s="76">
        <f>+E94+E103+E115</f>
        <v>7761086</v>
      </c>
      <c r="F118" s="76">
        <f>+F94+F103+F115</f>
        <v>7809721</v>
      </c>
      <c r="G118" s="76">
        <f>+G116+G94</f>
        <v>9581718.4385324363</v>
      </c>
      <c r="H118" s="76">
        <f>+H116+H94</f>
        <v>9491516</v>
      </c>
      <c r="I118" s="76">
        <f>+I116+I94</f>
        <v>9370653</v>
      </c>
      <c r="J118" s="76">
        <f>+J116+J94</f>
        <v>10113326</v>
      </c>
      <c r="K118" s="76">
        <f>+K116+K94</f>
        <v>10101484.094867</v>
      </c>
      <c r="L118" s="76">
        <f>+L94+L103+L115</f>
        <v>10220366.698026</v>
      </c>
      <c r="M118" s="76">
        <f>M115+M94+M103</f>
        <v>10060700.778335001</v>
      </c>
      <c r="N118" s="76">
        <f>N115+N103+N94</f>
        <v>9893886.6723970007</v>
      </c>
      <c r="O118" s="76">
        <f>+O94+O103+O115</f>
        <v>9667112.7753454912</v>
      </c>
      <c r="P118" s="140">
        <f t="shared" ref="P118:U118" si="28">+P116+P94</f>
        <v>9831733</v>
      </c>
      <c r="Q118" s="140">
        <f t="shared" si="28"/>
        <v>9836238.5517510008</v>
      </c>
      <c r="R118" s="140">
        <f t="shared" si="28"/>
        <v>9871004.7671600003</v>
      </c>
      <c r="S118" s="140">
        <f t="shared" si="28"/>
        <v>9854973.0545206033</v>
      </c>
      <c r="T118" s="140">
        <f t="shared" si="28"/>
        <v>9730722.6698560007</v>
      </c>
      <c r="U118" s="140">
        <f t="shared" si="28"/>
        <v>9973586.2816699985</v>
      </c>
      <c r="V118" s="140">
        <f t="shared" ref="V118:AC118" si="29">+V116+V94</f>
        <v>10166726.706019998</v>
      </c>
      <c r="W118" s="140">
        <f t="shared" si="29"/>
        <v>10691850.878147</v>
      </c>
      <c r="X118" s="140">
        <f t="shared" si="29"/>
        <v>10511638.389483999</v>
      </c>
      <c r="Y118" s="140">
        <f t="shared" si="29"/>
        <v>12589732.21438</v>
      </c>
      <c r="Z118" s="140">
        <f t="shared" si="29"/>
        <v>12147003.592701999</v>
      </c>
      <c r="AA118" s="140">
        <f t="shared" si="29"/>
        <v>11378341.812707998</v>
      </c>
      <c r="AB118" s="140">
        <f t="shared" si="29"/>
        <v>12262002.085456001</v>
      </c>
      <c r="AC118" s="140">
        <f t="shared" si="29"/>
        <v>12147315.988762002</v>
      </c>
      <c r="AD118" s="140">
        <f>+AD116+AD94</f>
        <v>12139152.882130999</v>
      </c>
      <c r="AE118" s="140">
        <f t="shared" ref="AE118:AK118" si="30">+AE116+AE94</f>
        <v>11810660.506072</v>
      </c>
      <c r="AF118" s="140">
        <f t="shared" si="30"/>
        <v>12273231.223931484</v>
      </c>
      <c r="AG118" s="140">
        <f t="shared" si="30"/>
        <v>12427459.835995002</v>
      </c>
      <c r="AH118" s="140">
        <f t="shared" si="30"/>
        <v>12974110</v>
      </c>
      <c r="AI118" s="140">
        <f t="shared" si="30"/>
        <v>12681487.811422002</v>
      </c>
      <c r="AJ118" s="140">
        <f t="shared" si="30"/>
        <v>12883513.375362001</v>
      </c>
      <c r="AK118" s="140">
        <f t="shared" si="30"/>
        <v>13485086.457000002</v>
      </c>
    </row>
    <row r="119" spans="1:37" ht="14.1" customHeight="1">
      <c r="C119" s="73"/>
      <c r="D119" s="73"/>
      <c r="E119" s="73"/>
      <c r="F119" s="73"/>
      <c r="G119" s="73"/>
      <c r="H119" s="73"/>
      <c r="I119" s="73"/>
      <c r="J119" s="73"/>
      <c r="K119" s="73"/>
      <c r="L119" s="73"/>
      <c r="M119" s="73"/>
      <c r="N119" s="73"/>
      <c r="O119" s="73"/>
      <c r="P119" s="137"/>
      <c r="Q119" s="137"/>
      <c r="R119" s="137"/>
      <c r="S119" s="137"/>
      <c r="T119" s="137"/>
      <c r="U119" s="137"/>
      <c r="V119" s="137"/>
      <c r="W119" s="137"/>
      <c r="X119" s="137"/>
      <c r="Y119" s="137"/>
      <c r="Z119" s="137"/>
      <c r="AA119" s="137"/>
      <c r="AB119" s="137"/>
      <c r="AC119" s="137"/>
      <c r="AD119" s="137"/>
      <c r="AE119" s="137"/>
      <c r="AF119" s="137"/>
      <c r="AG119" s="137"/>
      <c r="AH119" s="137"/>
      <c r="AI119" s="137"/>
    </row>
    <row r="120" spans="1:37" ht="14.1" customHeight="1">
      <c r="P120" s="138"/>
      <c r="Q120" s="138"/>
      <c r="R120" s="138"/>
      <c r="S120" s="138"/>
      <c r="T120" s="138"/>
      <c r="U120" s="138"/>
      <c r="V120" s="138"/>
      <c r="W120" s="138"/>
      <c r="X120" s="138"/>
      <c r="Y120" s="138"/>
      <c r="Z120" s="138"/>
      <c r="AA120" s="138"/>
      <c r="AB120" s="138"/>
      <c r="AC120" s="138"/>
      <c r="AD120" s="138"/>
      <c r="AE120" s="138"/>
      <c r="AF120" s="138"/>
      <c r="AG120" s="138"/>
      <c r="AH120" s="138"/>
      <c r="AI120" s="138"/>
    </row>
    <row r="121" spans="1:37" ht="14.1" customHeight="1">
      <c r="B121" s="183"/>
      <c r="P121" s="138"/>
      <c r="Q121" s="138"/>
      <c r="R121" s="138"/>
      <c r="S121" s="138"/>
      <c r="T121" s="138"/>
      <c r="U121" s="138"/>
      <c r="V121" s="138"/>
      <c r="W121" s="138"/>
      <c r="X121" s="138"/>
      <c r="Y121" s="138"/>
      <c r="Z121" s="138"/>
      <c r="AA121" s="138"/>
      <c r="AB121" s="138"/>
      <c r="AC121" s="138"/>
      <c r="AD121" s="138"/>
      <c r="AE121" s="138"/>
      <c r="AF121" s="138"/>
      <c r="AG121" s="138"/>
      <c r="AH121" s="138"/>
      <c r="AI121" s="138"/>
    </row>
  </sheetData>
  <phoneticPr fontId="14" type="noConversion"/>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5CB86-ED5A-4F12-B731-D26561FB41B4}">
  <dimension ref="B2:S268"/>
  <sheetViews>
    <sheetView showGridLines="0" zoomScaleNormal="100" workbookViewId="0">
      <pane xSplit="2" ySplit="2" topLeftCell="M94" activePane="bottomRight" state="frozen"/>
      <selection pane="topRight" activeCell="C1" sqref="C1"/>
      <selection pane="bottomLeft" activeCell="A3" sqref="A3"/>
      <selection pane="bottomRight" activeCell="R96" sqref="R96"/>
    </sheetView>
  </sheetViews>
  <sheetFormatPr baseColWidth="10" defaultRowHeight="12.75" customHeight="1"/>
  <cols>
    <col min="1" max="1" width="2.7109375" style="602" customWidth="1"/>
    <col min="2" max="2" width="49.42578125" style="602" customWidth="1"/>
    <col min="3" max="9" width="11.42578125" style="602" customWidth="1"/>
    <col min="10" max="16384" width="11.42578125" style="602"/>
  </cols>
  <sheetData>
    <row r="2" spans="2:19" ht="12.75" customHeight="1">
      <c r="B2" s="188"/>
      <c r="C2" s="189" t="s">
        <v>400</v>
      </c>
      <c r="D2" s="189" t="s">
        <v>399</v>
      </c>
      <c r="E2" s="189" t="s">
        <v>413</v>
      </c>
      <c r="F2" s="189" t="s">
        <v>453</v>
      </c>
      <c r="G2" s="189" t="s">
        <v>468</v>
      </c>
      <c r="H2" s="189" t="s">
        <v>473</v>
      </c>
      <c r="I2" s="189" t="s">
        <v>478</v>
      </c>
      <c r="J2" s="189" t="s">
        <v>530</v>
      </c>
      <c r="K2" s="189" t="s">
        <v>584</v>
      </c>
      <c r="L2" s="189" t="s">
        <v>639</v>
      </c>
      <c r="M2" s="189" t="s">
        <v>660</v>
      </c>
      <c r="N2" s="189" t="s">
        <v>684</v>
      </c>
      <c r="O2" s="189" t="s">
        <v>842</v>
      </c>
      <c r="P2" s="189" t="s">
        <v>891</v>
      </c>
      <c r="Q2" s="189" t="s">
        <v>919</v>
      </c>
      <c r="R2" s="189" t="s">
        <v>922</v>
      </c>
    </row>
    <row r="3" spans="2:19" ht="12.75" customHeight="1">
      <c r="B3" s="35"/>
      <c r="C3" s="337"/>
      <c r="D3" s="337"/>
      <c r="E3" s="337"/>
      <c r="F3" s="337"/>
      <c r="G3" s="337"/>
      <c r="H3" s="337"/>
      <c r="I3" s="337"/>
      <c r="J3" s="337"/>
      <c r="K3" s="337"/>
      <c r="L3" s="337"/>
      <c r="M3" s="337"/>
      <c r="N3" s="337"/>
      <c r="O3" s="337"/>
      <c r="P3" s="337"/>
    </row>
    <row r="4" spans="2:19" ht="12.75" customHeight="1">
      <c r="B4" s="603" t="s">
        <v>612</v>
      </c>
      <c r="C4" s="604"/>
      <c r="D4" s="604"/>
      <c r="E4" s="604"/>
      <c r="F4" s="604"/>
      <c r="G4" s="604"/>
      <c r="H4" s="604"/>
      <c r="I4" s="604"/>
      <c r="J4" s="604"/>
      <c r="K4" s="604"/>
      <c r="L4" s="604"/>
      <c r="M4" s="604"/>
      <c r="N4" s="604"/>
      <c r="O4" s="604"/>
      <c r="P4" s="604"/>
    </row>
    <row r="5" spans="2:19" ht="12.75" customHeight="1">
      <c r="B5" s="603" t="s">
        <v>392</v>
      </c>
      <c r="C5" s="604"/>
      <c r="D5" s="604"/>
      <c r="E5" s="604"/>
      <c r="F5" s="604"/>
      <c r="G5" s="604"/>
      <c r="H5" s="604"/>
      <c r="I5" s="604"/>
      <c r="J5" s="604"/>
      <c r="K5" s="604"/>
      <c r="L5" s="604"/>
      <c r="M5" s="604"/>
      <c r="N5" s="604"/>
      <c r="O5" s="604"/>
      <c r="P5" s="604"/>
    </row>
    <row r="6" spans="2:19" ht="12.75" customHeight="1">
      <c r="B6" s="603" t="s">
        <v>78</v>
      </c>
      <c r="C6" s="186"/>
      <c r="D6" s="186"/>
      <c r="E6" s="186"/>
      <c r="F6" s="186"/>
      <c r="G6" s="186"/>
      <c r="H6" s="186"/>
      <c r="I6" s="186"/>
      <c r="J6" s="186"/>
      <c r="K6" s="186"/>
      <c r="L6" s="186"/>
      <c r="M6" s="186"/>
      <c r="N6" s="186"/>
      <c r="O6" s="186"/>
      <c r="P6" s="186"/>
    </row>
    <row r="7" spans="2:19" ht="12.75" customHeight="1">
      <c r="B7" s="188"/>
      <c r="C7" s="189" t="s">
        <v>400</v>
      </c>
      <c r="D7" s="189" t="s">
        <v>399</v>
      </c>
      <c r="E7" s="189" t="s">
        <v>413</v>
      </c>
      <c r="F7" s="189" t="s">
        <v>453</v>
      </c>
      <c r="G7" s="189" t="s">
        <v>468</v>
      </c>
      <c r="H7" s="189" t="s">
        <v>473</v>
      </c>
      <c r="I7" s="189" t="s">
        <v>478</v>
      </c>
      <c r="J7" s="189" t="s">
        <v>530</v>
      </c>
      <c r="K7" s="189" t="s">
        <v>584</v>
      </c>
      <c r="L7" s="189" t="str">
        <f t="shared" ref="L7:R7" si="0">+L$2</f>
        <v>4T20</v>
      </c>
      <c r="M7" s="189" t="str">
        <f t="shared" si="0"/>
        <v>1T21</v>
      </c>
      <c r="N7" s="189" t="str">
        <f t="shared" si="0"/>
        <v>2T21</v>
      </c>
      <c r="O7" s="189" t="str">
        <f t="shared" si="0"/>
        <v>3T21</v>
      </c>
      <c r="P7" s="189" t="str">
        <f t="shared" si="0"/>
        <v>4T21</v>
      </c>
      <c r="Q7" s="189" t="str">
        <f t="shared" si="0"/>
        <v>1T22</v>
      </c>
      <c r="R7" s="189" t="str">
        <f t="shared" si="0"/>
        <v>2T22</v>
      </c>
    </row>
    <row r="8" spans="2:19" ht="12.75" customHeight="1">
      <c r="B8" s="35"/>
      <c r="C8" s="35"/>
      <c r="D8" s="35"/>
      <c r="E8" s="35"/>
      <c r="F8" s="35"/>
      <c r="G8" s="35"/>
      <c r="H8" s="35"/>
      <c r="I8" s="35"/>
      <c r="J8" s="35"/>
      <c r="K8" s="35"/>
      <c r="L8" s="35"/>
      <c r="M8" s="35"/>
      <c r="N8" s="35"/>
      <c r="O8" s="35"/>
      <c r="P8" s="35"/>
      <c r="Q8" s="35"/>
    </row>
    <row r="9" spans="2:19" ht="12.75" customHeight="1">
      <c r="B9" s="190" t="s">
        <v>81</v>
      </c>
      <c r="C9" s="191">
        <v>323425.02710393618</v>
      </c>
      <c r="D9" s="191">
        <v>379352.36231576896</v>
      </c>
      <c r="E9" s="191">
        <v>340538.37526232458</v>
      </c>
      <c r="F9" s="191">
        <v>279776.73510534677</v>
      </c>
      <c r="G9" s="191">
        <v>243857.67656940245</v>
      </c>
      <c r="H9" s="191">
        <v>210498.09421196533</v>
      </c>
      <c r="I9" s="191">
        <v>247592.10339653361</v>
      </c>
      <c r="J9" s="191">
        <v>282579.63247954496</v>
      </c>
      <c r="K9" s="191">
        <v>170338.26050044678</v>
      </c>
      <c r="L9" s="191">
        <v>181405.3886448876</v>
      </c>
      <c r="M9" s="191">
        <v>259669.17071803141</v>
      </c>
      <c r="N9" s="191">
        <v>216852.03592907795</v>
      </c>
      <c r="O9" s="191">
        <v>178537.68351499998</v>
      </c>
      <c r="P9" s="191">
        <v>351586.18436099996</v>
      </c>
      <c r="Q9" s="191">
        <v>400472.03610985779</v>
      </c>
      <c r="R9" s="191">
        <v>264867.12563100026</v>
      </c>
      <c r="S9" s="191"/>
    </row>
    <row r="10" spans="2:19" ht="12.75" customHeight="1">
      <c r="B10" s="190" t="s">
        <v>82</v>
      </c>
      <c r="C10" s="191">
        <v>226768.8520839999</v>
      </c>
      <c r="D10" s="191">
        <v>267175.92588599992</v>
      </c>
      <c r="E10" s="191">
        <v>262695.60609299998</v>
      </c>
      <c r="F10" s="191">
        <v>337643.60073531198</v>
      </c>
      <c r="G10" s="191">
        <v>436489.9962185222</v>
      </c>
      <c r="H10" s="191">
        <v>421077.66419090412</v>
      </c>
      <c r="I10" s="191">
        <v>436863.5907855414</v>
      </c>
      <c r="J10" s="191">
        <v>430487.4224566542</v>
      </c>
      <c r="K10" s="191">
        <v>461315.0809068121</v>
      </c>
      <c r="L10" s="191">
        <v>513447.67019294645</v>
      </c>
      <c r="M10" s="191">
        <v>495461.36731784954</v>
      </c>
      <c r="N10" s="191">
        <v>499136.94383326208</v>
      </c>
      <c r="O10" s="191">
        <v>557152.68837499991</v>
      </c>
      <c r="P10" s="191">
        <v>583244.32311700028</v>
      </c>
      <c r="Q10" s="191">
        <v>591484.80333908473</v>
      </c>
      <c r="R10" s="191">
        <v>663784.94799999997</v>
      </c>
      <c r="S10" s="191"/>
    </row>
    <row r="11" spans="2:19" ht="12.75" customHeight="1">
      <c r="B11" s="190" t="s">
        <v>83</v>
      </c>
      <c r="C11" s="191">
        <v>67031.388060000027</v>
      </c>
      <c r="D11" s="191">
        <v>76360.354370999994</v>
      </c>
      <c r="E11" s="191">
        <v>77366.437248000002</v>
      </c>
      <c r="F11" s="191">
        <v>99580.613887999993</v>
      </c>
      <c r="G11" s="191">
        <v>105429.08048400001</v>
      </c>
      <c r="H11" s="191">
        <v>156873.45828199998</v>
      </c>
      <c r="I11" s="191">
        <v>73725.297483000002</v>
      </c>
      <c r="J11" s="191">
        <v>64645.983812999999</v>
      </c>
      <c r="K11" s="191">
        <v>66425.008757000003</v>
      </c>
      <c r="L11" s="191">
        <v>66794.593416999996</v>
      </c>
      <c r="M11" s="191">
        <v>65925.673534000001</v>
      </c>
      <c r="N11" s="191">
        <v>73754.619922000013</v>
      </c>
      <c r="O11" s="191">
        <v>79672.869576999976</v>
      </c>
      <c r="P11" s="191">
        <v>89142.520005000028</v>
      </c>
      <c r="Q11" s="191">
        <v>85851.091113000002</v>
      </c>
      <c r="R11" s="191">
        <v>99810.275999999998</v>
      </c>
      <c r="S11" s="191"/>
    </row>
    <row r="12" spans="2:19" ht="12.75" customHeight="1">
      <c r="B12" s="190" t="s">
        <v>84</v>
      </c>
      <c r="C12" s="191">
        <v>16781.172480000001</v>
      </c>
      <c r="D12" s="191">
        <v>22094.027443999992</v>
      </c>
      <c r="E12" s="191">
        <v>10260.515828</v>
      </c>
      <c r="F12" s="191">
        <v>20328.589114000002</v>
      </c>
      <c r="G12" s="191">
        <v>9574.8993000000009</v>
      </c>
      <c r="H12" s="191">
        <v>462.68968299999688</v>
      </c>
      <c r="I12" s="191">
        <v>1213.0065090000001</v>
      </c>
      <c r="J12" s="191">
        <v>782.31392699999992</v>
      </c>
      <c r="K12" s="191">
        <v>0</v>
      </c>
      <c r="L12" s="191">
        <v>17.334912000000031</v>
      </c>
      <c r="M12" s="191">
        <v>0</v>
      </c>
      <c r="N12" s="191">
        <v>0</v>
      </c>
      <c r="O12" s="191">
        <v>0</v>
      </c>
      <c r="P12" s="191">
        <v>0</v>
      </c>
      <c r="Q12" s="191">
        <v>0</v>
      </c>
      <c r="R12" s="191">
        <v>0</v>
      </c>
      <c r="S12" s="191"/>
    </row>
    <row r="13" spans="2:19" ht="12.75" customHeight="1">
      <c r="B13" s="190" t="s">
        <v>85</v>
      </c>
      <c r="C13" s="191">
        <v>12669.586746909328</v>
      </c>
      <c r="D13" s="191">
        <v>17467.185982534</v>
      </c>
      <c r="E13" s="191">
        <v>13759.3809163406</v>
      </c>
      <c r="F13" s="191">
        <v>20844.372140570504</v>
      </c>
      <c r="G13" s="191">
        <v>27918.976779220895</v>
      </c>
      <c r="H13" s="191">
        <v>25207.671851296895</v>
      </c>
      <c r="I13" s="191">
        <v>19474.842157061201</v>
      </c>
      <c r="J13" s="191">
        <v>24729.404527021197</v>
      </c>
      <c r="K13" s="191">
        <v>27263.312089797801</v>
      </c>
      <c r="L13" s="191">
        <v>39051.709856099609</v>
      </c>
      <c r="M13" s="191">
        <v>37334.805179509603</v>
      </c>
      <c r="N13" s="191">
        <v>32426.960185249911</v>
      </c>
      <c r="O13" s="191">
        <v>43212.661347000001</v>
      </c>
      <c r="P13" s="191">
        <v>55196.625801000002</v>
      </c>
      <c r="Q13" s="191">
        <v>51987.502343184264</v>
      </c>
      <c r="R13" s="191">
        <v>47802.507194479411</v>
      </c>
      <c r="S13" s="191"/>
    </row>
    <row r="14" spans="2:19" ht="12.75" customHeight="1">
      <c r="B14" s="186" t="s">
        <v>86</v>
      </c>
      <c r="C14" s="192">
        <v>646676.02647484536</v>
      </c>
      <c r="D14" s="192">
        <v>762449.85599930282</v>
      </c>
      <c r="E14" s="192">
        <v>704620.31534766522</v>
      </c>
      <c r="F14" s="192">
        <v>758173.91098322929</v>
      </c>
      <c r="G14" s="192">
        <v>823270.62935114559</v>
      </c>
      <c r="H14" s="192">
        <v>814119.57821916637</v>
      </c>
      <c r="I14" s="192">
        <f>SUM(I9:I13)</f>
        <v>778868.84033113613</v>
      </c>
      <c r="J14" s="192">
        <v>803224.75720322051</v>
      </c>
      <c r="K14" s="192">
        <v>803224.75720322051</v>
      </c>
      <c r="L14" s="192">
        <v>800716.69702293363</v>
      </c>
      <c r="M14" s="192">
        <v>858391.01674939063</v>
      </c>
      <c r="N14" s="192">
        <f>SUM(N9:N13)</f>
        <v>822170.55986958987</v>
      </c>
      <c r="O14" s="192">
        <v>858575.90281399991</v>
      </c>
      <c r="P14" s="192">
        <v>1079169.6532840002</v>
      </c>
      <c r="Q14" s="192">
        <f>+SUM(Q9:Q13)</f>
        <v>1129795.4329051268</v>
      </c>
      <c r="R14" s="192">
        <f>+SUM(R9:R13)</f>
        <v>1076264.8568254795</v>
      </c>
    </row>
    <row r="15" spans="2:19" ht="12.75" customHeight="1">
      <c r="B15" s="186"/>
      <c r="C15" s="186"/>
      <c r="D15" s="186"/>
      <c r="E15" s="186"/>
      <c r="F15" s="186"/>
      <c r="G15" s="186"/>
      <c r="H15" s="186"/>
      <c r="I15" s="186"/>
      <c r="J15" s="186"/>
      <c r="K15" s="186"/>
      <c r="L15" s="186"/>
      <c r="M15" s="186"/>
      <c r="N15" s="186"/>
      <c r="O15" s="186"/>
      <c r="P15" s="186"/>
      <c r="Q15" s="186"/>
      <c r="R15" s="186"/>
    </row>
    <row r="16" spans="2:19" ht="12.75" customHeight="1">
      <c r="B16" s="186" t="s">
        <v>87</v>
      </c>
      <c r="C16" s="193">
        <v>-422587.85087150941</v>
      </c>
      <c r="D16" s="193">
        <v>-509209.88269125856</v>
      </c>
      <c r="E16" s="193">
        <v>-488133.7446199354</v>
      </c>
      <c r="F16" s="193">
        <v>-519968.01980667689</v>
      </c>
      <c r="G16" s="193">
        <v>-554882.58682133281</v>
      </c>
      <c r="H16" s="193">
        <v>-464721.90965970443</v>
      </c>
      <c r="I16" s="193">
        <v>-493432.59651685483</v>
      </c>
      <c r="J16" s="193">
        <v>-529348.24829536548</v>
      </c>
      <c r="K16" s="193">
        <v>-500854.74879713461</v>
      </c>
      <c r="L16" s="193">
        <v>-534966.93369720341</v>
      </c>
      <c r="M16" s="193">
        <v>-576902.94711010903</v>
      </c>
      <c r="N16" s="193">
        <v>-579789.92439980269</v>
      </c>
      <c r="O16" s="193">
        <v>-607272.95249599987</v>
      </c>
      <c r="P16" s="193">
        <v>-726932.84261699999</v>
      </c>
      <c r="Q16" s="193">
        <v>-723978.24639395834</v>
      </c>
      <c r="R16" s="193">
        <v>-683062.42156795133</v>
      </c>
    </row>
    <row r="17" spans="2:18" ht="12.75" customHeight="1">
      <c r="B17" s="194" t="s">
        <v>88</v>
      </c>
      <c r="C17" s="605">
        <v>224088.17560333596</v>
      </c>
      <c r="D17" s="605">
        <v>253239.97330804425</v>
      </c>
      <c r="E17" s="605">
        <v>216486.57072772976</v>
      </c>
      <c r="F17" s="605">
        <v>238205.89117655237</v>
      </c>
      <c r="G17" s="605">
        <v>268388.04252981272</v>
      </c>
      <c r="H17" s="605">
        <v>349397.66855946195</v>
      </c>
      <c r="I17" s="605">
        <f>+I14+I16</f>
        <v>285436.2438142813</v>
      </c>
      <c r="J17" s="605">
        <v>273876.50890785502</v>
      </c>
      <c r="K17" s="605">
        <v>224486.91345692205</v>
      </c>
      <c r="L17" s="605">
        <v>265749.76332573022</v>
      </c>
      <c r="M17" s="605">
        <v>281488.06963928154</v>
      </c>
      <c r="N17" s="605">
        <f>+N14+N16</f>
        <v>242380.63546978717</v>
      </c>
      <c r="O17" s="605">
        <v>251302.95031799993</v>
      </c>
      <c r="P17" s="605">
        <v>352236.81066700001</v>
      </c>
      <c r="Q17" s="605">
        <f>+Q14+Q16</f>
        <v>405817.18651116849</v>
      </c>
      <c r="R17" s="605">
        <f>+R14+R16</f>
        <v>393202.43525752821</v>
      </c>
    </row>
    <row r="18" spans="2:18" ht="12.75" customHeight="1">
      <c r="B18" s="195" t="s">
        <v>89</v>
      </c>
      <c r="C18" s="200">
        <f t="shared" ref="C18:I18" si="1">+C17/C14</f>
        <v>0.34652309105207352</v>
      </c>
      <c r="D18" s="200">
        <f t="shared" si="1"/>
        <v>0.3321398401684213</v>
      </c>
      <c r="E18" s="200">
        <f t="shared" si="1"/>
        <v>0.30723861633327104</v>
      </c>
      <c r="F18" s="200">
        <f t="shared" si="1"/>
        <v>0.31418370867923662</v>
      </c>
      <c r="G18" s="200">
        <f t="shared" si="1"/>
        <v>0.32600220748958419</v>
      </c>
      <c r="H18" s="200">
        <f t="shared" si="1"/>
        <v>0.42917241877875806</v>
      </c>
      <c r="I18" s="200">
        <f t="shared" si="1"/>
        <v>0.36647536662646313</v>
      </c>
      <c r="J18" s="200">
        <f t="shared" ref="J18:P18" si="2">+J17/J14</f>
        <v>0.34097119947034038</v>
      </c>
      <c r="K18" s="200">
        <f t="shared" si="2"/>
        <v>0.2794820645700361</v>
      </c>
      <c r="L18" s="200">
        <f t="shared" si="2"/>
        <v>0.3318898735517673</v>
      </c>
      <c r="M18" s="200">
        <f t="shared" si="2"/>
        <v>0.32792522771875965</v>
      </c>
      <c r="N18" s="200">
        <f t="shared" si="2"/>
        <v>0.29480578276633113</v>
      </c>
      <c r="O18" s="200">
        <f t="shared" si="2"/>
        <v>0.29269741847441727</v>
      </c>
      <c r="P18" s="200">
        <f t="shared" si="2"/>
        <v>0.32639614132505951</v>
      </c>
      <c r="Q18" s="200">
        <f>+Q17/Q14</f>
        <v>0.3591952796867488</v>
      </c>
      <c r="R18" s="200">
        <f>+R17/R14</f>
        <v>0.36533984433655764</v>
      </c>
    </row>
    <row r="19" spans="2:18" ht="12.75" customHeight="1">
      <c r="B19" s="195"/>
      <c r="C19" s="195"/>
      <c r="D19" s="195"/>
      <c r="E19" s="195"/>
      <c r="F19" s="195"/>
      <c r="G19" s="195"/>
      <c r="H19" s="195"/>
      <c r="I19" s="195"/>
      <c r="J19" s="195"/>
      <c r="K19" s="195"/>
      <c r="L19" s="195"/>
      <c r="M19" s="195"/>
      <c r="N19" s="195"/>
      <c r="O19" s="195"/>
      <c r="P19" s="195"/>
      <c r="Q19" s="195"/>
      <c r="R19" s="195"/>
    </row>
    <row r="20" spans="2:18" ht="12.75" customHeight="1">
      <c r="B20" s="190" t="s">
        <v>90</v>
      </c>
      <c r="C20" s="191">
        <v>2036.727846091786</v>
      </c>
      <c r="D20" s="191">
        <v>2095.2803986886975</v>
      </c>
      <c r="E20" s="191">
        <v>1281.5788878279941</v>
      </c>
      <c r="F20" s="191">
        <v>1034.4340382021048</v>
      </c>
      <c r="G20" s="191">
        <v>313483.6679879353</v>
      </c>
      <c r="H20" s="191">
        <v>340500.5775713211</v>
      </c>
      <c r="I20" s="191">
        <v>3575.4348009509995</v>
      </c>
      <c r="J20" s="191">
        <v>15040.012595595999</v>
      </c>
      <c r="K20" s="191">
        <v>10778.243223189806</v>
      </c>
      <c r="L20" s="191">
        <v>23523.173910306494</v>
      </c>
      <c r="M20" s="191">
        <v>2440.050818358</v>
      </c>
      <c r="N20" s="191">
        <v>1539.7466667670037</v>
      </c>
      <c r="O20" s="191">
        <v>1593.652681</v>
      </c>
      <c r="P20" s="191">
        <v>75018.852780000001</v>
      </c>
      <c r="Q20" s="191">
        <v>3590.5887776458667</v>
      </c>
      <c r="R20" s="191">
        <v>13791.402288373927</v>
      </c>
    </row>
    <row r="21" spans="2:18" ht="12.75" customHeight="1">
      <c r="B21" s="196" t="s">
        <v>91</v>
      </c>
      <c r="C21" s="191">
        <v>-43015.663147727289</v>
      </c>
      <c r="D21" s="191">
        <v>-48602.462994304398</v>
      </c>
      <c r="E21" s="191">
        <v>-47122.349864778997</v>
      </c>
      <c r="F21" s="191">
        <v>-60288.792655279161</v>
      </c>
      <c r="G21" s="191">
        <v>-71792.145264415085</v>
      </c>
      <c r="H21" s="191">
        <v>-71028.491295211395</v>
      </c>
      <c r="I21" s="191">
        <v>-59084.882793867095</v>
      </c>
      <c r="J21" s="191">
        <v>-64121.093301453417</v>
      </c>
      <c r="K21" s="191">
        <v>-87193.491790099186</v>
      </c>
      <c r="L21" s="191">
        <v>-54338.795310599817</v>
      </c>
      <c r="M21" s="191">
        <v>-65540.209462776402</v>
      </c>
      <c r="N21" s="191">
        <v>-60106.847652504104</v>
      </c>
      <c r="O21" s="191">
        <v>-66087.938143000007</v>
      </c>
      <c r="P21" s="191">
        <v>-76967.161207999976</v>
      </c>
      <c r="Q21" s="191">
        <v>-67993.667526134057</v>
      </c>
      <c r="R21" s="191">
        <v>-75601.375167286955</v>
      </c>
    </row>
    <row r="22" spans="2:18" ht="12.75" customHeight="1">
      <c r="B22" s="190" t="s">
        <v>92</v>
      </c>
      <c r="C22" s="191">
        <v>-166.73000009620046</v>
      </c>
      <c r="D22" s="191">
        <v>-4897.533867872</v>
      </c>
      <c r="E22" s="191">
        <v>-9101.3056638174003</v>
      </c>
      <c r="F22" s="191">
        <v>-9289.3088026031037</v>
      </c>
      <c r="G22" s="191">
        <v>440.26406021360162</v>
      </c>
      <c r="H22" s="191">
        <v>-25986.622652157221</v>
      </c>
      <c r="I22" s="191">
        <v>-16226.1303246264</v>
      </c>
      <c r="J22" s="191">
        <v>-800.81199197180104</v>
      </c>
      <c r="K22" s="191">
        <v>-3743.2812213744</v>
      </c>
      <c r="L22" s="191">
        <v>-2554.9727649649976</v>
      </c>
      <c r="M22" s="191">
        <v>-15634.569282338802</v>
      </c>
      <c r="N22" s="191">
        <v>-883.95932080670354</v>
      </c>
      <c r="O22" s="191">
        <v>-8378.1746600000006</v>
      </c>
      <c r="P22" s="191">
        <v>-71552.024332999994</v>
      </c>
      <c r="Q22" s="191">
        <v>-13713.360400441532</v>
      </c>
      <c r="R22" s="191">
        <v>-3288.4836765628788</v>
      </c>
    </row>
    <row r="23" spans="2:18" ht="12.75" customHeight="1">
      <c r="B23" s="190" t="s">
        <v>393</v>
      </c>
      <c r="C23" s="191">
        <v>-1488.8423519999999</v>
      </c>
      <c r="D23" s="191">
        <v>134.53119800000002</v>
      </c>
      <c r="E23" s="191">
        <v>-315.68364700000001</v>
      </c>
      <c r="F23" s="191">
        <v>-414.98818</v>
      </c>
      <c r="G23" s="191">
        <v>-617.22683100000006</v>
      </c>
      <c r="H23" s="191">
        <v>-17944.969834000003</v>
      </c>
      <c r="I23" s="191">
        <v>-2826.7474889999999</v>
      </c>
      <c r="J23" s="191">
        <v>-266.96950900000002</v>
      </c>
      <c r="K23" s="191">
        <v>-1634.9264220000005</v>
      </c>
      <c r="L23" s="191">
        <v>78.590523000000758</v>
      </c>
      <c r="M23" s="191">
        <v>-424.21210799999972</v>
      </c>
      <c r="N23" s="191">
        <v>-443.62937900000009</v>
      </c>
      <c r="O23" s="191">
        <v>2077.5834679999998</v>
      </c>
      <c r="P23" s="191">
        <v>-3067.2251839999999</v>
      </c>
      <c r="Q23" s="191">
        <v>12265.740428999999</v>
      </c>
      <c r="R23" s="191">
        <v>-9850.6805359999998</v>
      </c>
    </row>
    <row r="24" spans="2:18" ht="12.75" customHeight="1">
      <c r="B24" s="194" t="s">
        <v>93</v>
      </c>
      <c r="C24" s="605">
        <v>181453.66794960425</v>
      </c>
      <c r="D24" s="605">
        <v>201969.78804255655</v>
      </c>
      <c r="E24" s="605">
        <v>161228.81043996135</v>
      </c>
      <c r="F24" s="605">
        <v>169247.23557687222</v>
      </c>
      <c r="G24" s="605">
        <v>509902.60248254659</v>
      </c>
      <c r="H24" s="605">
        <v>574938.16234941443</v>
      </c>
      <c r="I24" s="605">
        <f>I17+SUM(I20:I23)</f>
        <v>210873.9180077388</v>
      </c>
      <c r="J24" s="605">
        <v>223727.64670102583</v>
      </c>
      <c r="K24" s="605">
        <v>142693.45724663828</v>
      </c>
      <c r="L24" s="605">
        <v>232457.75968347187</v>
      </c>
      <c r="M24" s="605">
        <v>202329.12960452435</v>
      </c>
      <c r="N24" s="605">
        <f>SUM(N17,N20:N23)</f>
        <v>182485.94578424338</v>
      </c>
      <c r="O24" s="605">
        <f>SUM(O17,O20:O23)</f>
        <v>180508.07366399994</v>
      </c>
      <c r="P24" s="605">
        <f>SUM(P17,P20:P23)</f>
        <v>275669.25272200006</v>
      </c>
      <c r="Q24" s="605">
        <f>+Q17+SUM(Q20:Q23)</f>
        <v>339966.48779123876</v>
      </c>
      <c r="R24" s="605">
        <f>+R17+SUM(R20:R23)</f>
        <v>318253.29816605232</v>
      </c>
    </row>
    <row r="25" spans="2:18" ht="12.75" customHeight="1">
      <c r="B25" s="197"/>
      <c r="C25" s="198"/>
      <c r="D25" s="198"/>
      <c r="E25" s="198"/>
      <c r="F25" s="198"/>
      <c r="G25" s="198"/>
      <c r="H25" s="198"/>
      <c r="I25" s="198"/>
      <c r="J25" s="198"/>
      <c r="K25" s="198"/>
      <c r="L25" s="198"/>
      <c r="M25" s="198"/>
      <c r="N25" s="198"/>
      <c r="O25" s="198"/>
      <c r="P25" s="198"/>
      <c r="Q25" s="198"/>
      <c r="R25" s="198"/>
    </row>
    <row r="26" spans="2:18" ht="12.75" customHeight="1">
      <c r="B26" s="196" t="s">
        <v>94</v>
      </c>
      <c r="C26" s="191">
        <v>549.21945360230711</v>
      </c>
      <c r="D26" s="191">
        <v>3471.1009327445008</v>
      </c>
      <c r="E26" s="191">
        <v>3693.7490545085016</v>
      </c>
      <c r="F26" s="191">
        <v>7657.2188222324003</v>
      </c>
      <c r="G26" s="191">
        <v>3676.831021688502</v>
      </c>
      <c r="H26" s="191">
        <v>-7383.6610158852964</v>
      </c>
      <c r="I26" s="191">
        <v>5757.3830344241005</v>
      </c>
      <c r="J26" s="191">
        <v>9474.4598325519983</v>
      </c>
      <c r="K26" s="191">
        <v>10000.374890296402</v>
      </c>
      <c r="L26" s="191">
        <v>5399.4011319273013</v>
      </c>
      <c r="M26" s="191">
        <v>8039.0982873191006</v>
      </c>
      <c r="N26" s="191">
        <v>6640.18651617869</v>
      </c>
      <c r="O26" s="191">
        <v>6985.1608959999994</v>
      </c>
      <c r="P26" s="191">
        <v>4682.6012950000004</v>
      </c>
      <c r="Q26" s="191">
        <v>4934.5944620397331</v>
      </c>
      <c r="R26" s="191">
        <v>3919.2212877182592</v>
      </c>
    </row>
    <row r="27" spans="2:18" ht="12.75" customHeight="1">
      <c r="B27" s="196" t="s">
        <v>95</v>
      </c>
      <c r="C27" s="191">
        <v>-56433.044664296613</v>
      </c>
      <c r="D27" s="191">
        <v>-42346.532275662903</v>
      </c>
      <c r="E27" s="191">
        <v>-56818.3964816386</v>
      </c>
      <c r="F27" s="191">
        <v>-88565.962779666937</v>
      </c>
      <c r="G27" s="191">
        <v>-84667.406452138559</v>
      </c>
      <c r="H27" s="191">
        <v>-90108.455528313876</v>
      </c>
      <c r="I27" s="191">
        <v>-71269.090813828399</v>
      </c>
      <c r="J27" s="191">
        <v>-60696.761355821771</v>
      </c>
      <c r="K27" s="191">
        <v>-54285.74426870342</v>
      </c>
      <c r="L27" s="191">
        <v>-80179.916761074797</v>
      </c>
      <c r="M27" s="191">
        <v>-51430.226916273896</v>
      </c>
      <c r="N27" s="191">
        <v>-57102.212059176803</v>
      </c>
      <c r="O27" s="191">
        <v>-62324.544671999989</v>
      </c>
      <c r="P27" s="191">
        <v>-74716.215215000004</v>
      </c>
      <c r="Q27" s="191">
        <v>-81558.40974958874</v>
      </c>
      <c r="R27" s="191">
        <v>-98797.208353239825</v>
      </c>
    </row>
    <row r="28" spans="2:18" ht="12.75" customHeight="1">
      <c r="B28" s="196" t="s">
        <v>242</v>
      </c>
      <c r="C28" s="191">
        <v>675.77708899999993</v>
      </c>
      <c r="D28" s="191">
        <v>-3390.4347499999985</v>
      </c>
      <c r="E28" s="191">
        <v>4088.1686810000001</v>
      </c>
      <c r="F28" s="191">
        <v>32154.256766999999</v>
      </c>
      <c r="G28" s="191">
        <v>-21762.272441000005</v>
      </c>
      <c r="H28" s="191">
        <v>-6067.9922670000014</v>
      </c>
      <c r="I28" s="191">
        <v>19919.405718000002</v>
      </c>
      <c r="J28" s="191">
        <v>-9313.9831350000004</v>
      </c>
      <c r="K28" s="191">
        <v>-2995.5794069999993</v>
      </c>
      <c r="L28" s="191">
        <v>-7072.9764270000005</v>
      </c>
      <c r="M28" s="191">
        <v>11139.746372</v>
      </c>
      <c r="N28" s="191">
        <v>512.00290599999971</v>
      </c>
      <c r="O28" s="191">
        <v>6330.1329279999991</v>
      </c>
      <c r="P28" s="191">
        <v>21214.169124000004</v>
      </c>
      <c r="Q28" s="191">
        <v>2740.5462350000003</v>
      </c>
      <c r="R28" s="191">
        <v>-12297.081353000001</v>
      </c>
    </row>
    <row r="29" spans="2:18" ht="12.75" customHeight="1">
      <c r="B29" s="194" t="s">
        <v>96</v>
      </c>
      <c r="C29" s="605">
        <v>126245.61982790993</v>
      </c>
      <c r="D29" s="605">
        <v>159703.92194963817</v>
      </c>
      <c r="E29" s="605">
        <v>112192.33169383125</v>
      </c>
      <c r="F29" s="605">
        <v>120492.74838643763</v>
      </c>
      <c r="G29" s="605">
        <v>407149.75461109652</v>
      </c>
      <c r="H29" s="605">
        <v>471378.05353821523</v>
      </c>
      <c r="I29" s="605">
        <f>I24+SUM(I26:I28)</f>
        <v>165281.6159463345</v>
      </c>
      <c r="J29" s="605">
        <v>163191.36204275608</v>
      </c>
      <c r="K29" s="605">
        <v>95412.508461231264</v>
      </c>
      <c r="L29" s="605">
        <v>150604.26762732439</v>
      </c>
      <c r="M29" s="605">
        <v>170077.74734756953</v>
      </c>
      <c r="N29" s="605">
        <f>+N24+N26+N27+N28</f>
        <v>132535.92314724525</v>
      </c>
      <c r="O29" s="605">
        <f>+O24+O26+O27+O28</f>
        <v>131498.82281599994</v>
      </c>
      <c r="P29" s="605">
        <f>+P24+P26+P27+P28</f>
        <v>226849.80792600007</v>
      </c>
      <c r="Q29" s="605">
        <f>+Q24+SUM(Q26:Q28)</f>
        <v>266083.21873868979</v>
      </c>
      <c r="R29" s="605">
        <f>+R24+SUM(R26:R28)</f>
        <v>211078.22974753077</v>
      </c>
    </row>
    <row r="30" spans="2:18" ht="12.75" customHeight="1">
      <c r="B30" s="196" t="s">
        <v>394</v>
      </c>
      <c r="C30" s="191">
        <v>-48143.208117999995</v>
      </c>
      <c r="D30" s="191">
        <v>-65298.616410000002</v>
      </c>
      <c r="E30" s="191">
        <v>-46455.072773980501</v>
      </c>
      <c r="F30" s="191">
        <v>-42694.320523503309</v>
      </c>
      <c r="G30" s="191">
        <v>-93678.585490999991</v>
      </c>
      <c r="H30" s="191">
        <v>-141423.28937935</v>
      </c>
      <c r="I30" s="191">
        <v>-45655.345312192498</v>
      </c>
      <c r="J30" s="191">
        <v>-52539.973882530001</v>
      </c>
      <c r="K30" s="191">
        <v>-19954.085739000002</v>
      </c>
      <c r="L30" s="191">
        <v>-45109.708137687107</v>
      </c>
      <c r="M30" s="191">
        <v>-53883.02911553</v>
      </c>
      <c r="N30" s="191">
        <v>-33955.107008171697</v>
      </c>
      <c r="O30" s="191">
        <v>-35701.632020999998</v>
      </c>
      <c r="P30" s="191">
        <v>-51777.744775999992</v>
      </c>
      <c r="Q30" s="191">
        <v>-94797.246033000003</v>
      </c>
      <c r="R30" s="191">
        <v>9456.6169830000017</v>
      </c>
    </row>
    <row r="31" spans="2:18" ht="12.75" customHeight="1">
      <c r="B31" s="43" t="s">
        <v>243</v>
      </c>
      <c r="C31" s="191">
        <v>-16039.3860064199</v>
      </c>
      <c r="D31" s="191">
        <v>24058.884532800799</v>
      </c>
      <c r="E31" s="191">
        <v>3854.082942</v>
      </c>
      <c r="F31" s="191">
        <v>-8439.1876779999984</v>
      </c>
      <c r="G31" s="191">
        <v>15855.605179</v>
      </c>
      <c r="H31" s="191">
        <v>-41422.387414000004</v>
      </c>
      <c r="I31" s="191">
        <v>-21261.057208999999</v>
      </c>
      <c r="J31" s="191">
        <v>3953.9361719999979</v>
      </c>
      <c r="K31" s="191">
        <v>-7300.3506369999996</v>
      </c>
      <c r="L31" s="191">
        <v>-3326.9064419999995</v>
      </c>
      <c r="M31" s="191">
        <v>74.594661999999971</v>
      </c>
      <c r="N31" s="191">
        <v>-10736.847744999999</v>
      </c>
      <c r="O31" s="191">
        <v>-4585.8278090000003</v>
      </c>
      <c r="P31" s="191">
        <v>-15232.193565</v>
      </c>
      <c r="Q31" s="191">
        <v>2998.6505139999999</v>
      </c>
      <c r="R31" s="191">
        <v>-86635.153492000012</v>
      </c>
    </row>
    <row r="32" spans="2:18" ht="12.75" customHeight="1">
      <c r="B32" s="199" t="s">
        <v>97</v>
      </c>
      <c r="C32" s="605">
        <v>62063.025703490042</v>
      </c>
      <c r="D32" s="605">
        <v>118464.19007243897</v>
      </c>
      <c r="E32" s="605">
        <v>69591.341861850757</v>
      </c>
      <c r="F32" s="605">
        <v>69359.24018493433</v>
      </c>
      <c r="G32" s="605">
        <v>329326.77429909655</v>
      </c>
      <c r="H32" s="605">
        <v>288532.37674486527</v>
      </c>
      <c r="I32" s="605">
        <f>SUM(I29:I31)</f>
        <v>98365.213425141992</v>
      </c>
      <c r="J32" s="605">
        <v>114605.32433222608</v>
      </c>
      <c r="K32" s="605">
        <v>68158.072085231266</v>
      </c>
      <c r="L32" s="605">
        <v>102167.65304763729</v>
      </c>
      <c r="M32" s="605">
        <v>116269.31289403953</v>
      </c>
      <c r="N32" s="605">
        <f>+N29+N31+N30</f>
        <v>87843.968394073541</v>
      </c>
      <c r="O32" s="605">
        <f>+O29+O31+O30</f>
        <v>91211.362985999949</v>
      </c>
      <c r="P32" s="605">
        <f>+P29+P31+P30</f>
        <v>159839.86958500009</v>
      </c>
      <c r="Q32" s="605">
        <f>+Q29+SUM(Q30:Q31)</f>
        <v>174284.62321968976</v>
      </c>
      <c r="R32" s="605">
        <f>+R29+SUM(R30:R31)</f>
        <v>133899.69323853077</v>
      </c>
    </row>
    <row r="33" spans="2:18" ht="12.75" customHeight="1">
      <c r="B33" s="195" t="s">
        <v>395</v>
      </c>
      <c r="C33" s="200">
        <f t="shared" ref="C33:P33" si="3">+C32/C14</f>
        <v>9.5972361990605187E-2</v>
      </c>
      <c r="D33" s="200">
        <f t="shared" si="3"/>
        <v>0.15537308996822383</v>
      </c>
      <c r="E33" s="200">
        <f t="shared" si="3"/>
        <v>9.8764313696396669E-2</v>
      </c>
      <c r="F33" s="200">
        <f t="shared" si="3"/>
        <v>9.1481966314280821E-2</v>
      </c>
      <c r="G33" s="200">
        <f t="shared" si="3"/>
        <v>0.4000224987482584</v>
      </c>
      <c r="H33" s="200">
        <f t="shared" si="3"/>
        <v>0.3544103157130935</v>
      </c>
      <c r="I33" s="200">
        <f t="shared" si="3"/>
        <v>0.12629239781029372</v>
      </c>
      <c r="J33" s="200">
        <f t="shared" si="3"/>
        <v>0.14268151386577627</v>
      </c>
      <c r="K33" s="200">
        <f t="shared" si="3"/>
        <v>8.4855541956342956E-2</v>
      </c>
      <c r="L33" s="200">
        <f t="shared" si="3"/>
        <v>0.12759525738316291</v>
      </c>
      <c r="M33" s="200">
        <f t="shared" si="3"/>
        <v>0.13545029086433769</v>
      </c>
      <c r="N33" s="200">
        <f t="shared" si="3"/>
        <v>0.10684397214126358</v>
      </c>
      <c r="O33" s="200">
        <f t="shared" si="3"/>
        <v>0.10623564286751219</v>
      </c>
      <c r="P33" s="200">
        <f t="shared" si="3"/>
        <v>0.14811375495835571</v>
      </c>
      <c r="Q33" s="200">
        <f>+Q32/Q14</f>
        <v>0.15426210634569373</v>
      </c>
      <c r="R33" s="200">
        <f>+R32/R14</f>
        <v>0.12441147027087508</v>
      </c>
    </row>
    <row r="34" spans="2:18" ht="12.75" customHeight="1">
      <c r="B34" s="92"/>
      <c r="C34" s="173"/>
      <c r="D34" s="173"/>
      <c r="E34" s="173"/>
      <c r="F34" s="173"/>
      <c r="G34" s="173"/>
      <c r="H34" s="173"/>
      <c r="I34" s="173"/>
      <c r="J34" s="173"/>
      <c r="K34" s="173"/>
      <c r="L34" s="173"/>
      <c r="M34" s="173"/>
      <c r="N34" s="173"/>
      <c r="O34" s="173"/>
      <c r="P34" s="173"/>
      <c r="Q34" s="173"/>
      <c r="R34" s="173"/>
    </row>
    <row r="35" spans="2:18" ht="12.75" hidden="1" customHeight="1">
      <c r="B35" s="92"/>
      <c r="C35" s="173"/>
      <c r="D35" s="173"/>
      <c r="E35" s="173"/>
      <c r="F35" s="173"/>
      <c r="G35" s="173"/>
      <c r="H35" s="173"/>
      <c r="I35" s="173"/>
      <c r="J35" s="173"/>
      <c r="K35" s="173"/>
      <c r="L35" s="173"/>
      <c r="M35" s="173"/>
      <c r="N35" s="173"/>
      <c r="O35" s="173"/>
      <c r="P35" s="173"/>
      <c r="Q35" s="173"/>
      <c r="R35" s="173"/>
    </row>
    <row r="36" spans="2:18" ht="12.75" hidden="1" customHeight="1">
      <c r="B36" s="92"/>
      <c r="C36" s="173"/>
      <c r="D36" s="173"/>
      <c r="E36" s="173"/>
      <c r="F36" s="173"/>
      <c r="G36" s="173"/>
      <c r="H36" s="173"/>
      <c r="I36" s="173"/>
      <c r="J36" s="173"/>
      <c r="K36" s="173"/>
      <c r="L36" s="173"/>
      <c r="M36" s="173"/>
      <c r="N36" s="173"/>
      <c r="O36" s="173"/>
      <c r="P36" s="173"/>
      <c r="Q36" s="173"/>
      <c r="R36" s="173"/>
    </row>
    <row r="37" spans="2:18" ht="12.75" hidden="1" customHeight="1">
      <c r="B37" s="92"/>
      <c r="C37" s="173"/>
      <c r="D37" s="173"/>
      <c r="E37" s="173"/>
      <c r="F37" s="173"/>
      <c r="G37" s="173"/>
      <c r="H37" s="173"/>
      <c r="I37" s="173"/>
      <c r="J37" s="173"/>
      <c r="K37" s="173"/>
      <c r="L37" s="173"/>
      <c r="M37" s="173"/>
      <c r="N37" s="173"/>
      <c r="O37" s="173"/>
      <c r="P37" s="173"/>
      <c r="Q37" s="173"/>
      <c r="R37" s="173"/>
    </row>
    <row r="38" spans="2:18" ht="12.75" hidden="1" customHeight="1">
      <c r="B38" s="92"/>
      <c r="C38" s="173"/>
      <c r="D38" s="173"/>
      <c r="E38" s="173"/>
      <c r="F38" s="173"/>
      <c r="G38" s="173"/>
      <c r="H38" s="173"/>
      <c r="I38" s="173"/>
      <c r="J38" s="173"/>
      <c r="K38" s="173"/>
      <c r="L38" s="173"/>
      <c r="M38" s="173"/>
      <c r="N38" s="173"/>
      <c r="O38" s="173"/>
      <c r="P38" s="173"/>
      <c r="Q38" s="173"/>
      <c r="R38" s="173"/>
    </row>
    <row r="39" spans="2:18" ht="12.75" customHeight="1">
      <c r="B39" s="104" t="s">
        <v>98</v>
      </c>
      <c r="C39" s="201"/>
      <c r="D39" s="201"/>
      <c r="E39" s="201"/>
      <c r="F39" s="201"/>
      <c r="G39" s="201"/>
      <c r="H39" s="201"/>
      <c r="I39" s="201"/>
      <c r="J39" s="201"/>
      <c r="K39" s="201"/>
      <c r="L39" s="201"/>
      <c r="M39" s="201"/>
      <c r="N39" s="201"/>
      <c r="O39" s="201"/>
      <c r="P39" s="201"/>
      <c r="Q39" s="201"/>
      <c r="R39" s="201"/>
    </row>
    <row r="40" spans="2:18" ht="12.75" customHeight="1">
      <c r="B40" s="202" t="s">
        <v>99</v>
      </c>
      <c r="C40" s="191">
        <v>32411.239135587384</v>
      </c>
      <c r="D40" s="191">
        <v>71068.218539918569</v>
      </c>
      <c r="E40" s="191">
        <v>42408.133104537708</v>
      </c>
      <c r="F40" s="191">
        <v>34660.739476876181</v>
      </c>
      <c r="G40" s="191">
        <v>311113.76576973789</v>
      </c>
      <c r="H40" s="191">
        <v>200044.20465146156</v>
      </c>
      <c r="I40" s="191">
        <v>70815.077860798556</v>
      </c>
      <c r="J40" s="191">
        <v>77833.960168979233</v>
      </c>
      <c r="K40" s="191">
        <v>46469.114805335237</v>
      </c>
      <c r="L40" s="191">
        <v>62070.982442578497</v>
      </c>
      <c r="M40" s="191">
        <v>76367.653183039554</v>
      </c>
      <c r="N40" s="191">
        <v>50599.133002073315</v>
      </c>
      <c r="O40" s="191">
        <v>59337.072593999997</v>
      </c>
      <c r="P40" s="191">
        <v>86512.70745799999</v>
      </c>
      <c r="Q40" s="191">
        <v>111120.16192768978</v>
      </c>
      <c r="R40" s="191">
        <v>86757.214829643097</v>
      </c>
    </row>
    <row r="41" spans="2:18" ht="12.75" customHeight="1">
      <c r="B41" s="202" t="s">
        <v>100</v>
      </c>
      <c r="C41" s="191">
        <v>29651.78656790292</v>
      </c>
      <c r="D41" s="191">
        <v>47395.971532520431</v>
      </c>
      <c r="E41" s="191">
        <v>27183.208757313128</v>
      </c>
      <c r="F41" s="191">
        <v>34698.500708057967</v>
      </c>
      <c r="G41" s="191">
        <v>18214.008529358747</v>
      </c>
      <c r="H41" s="191">
        <v>88487.172093402856</v>
      </c>
      <c r="I41" s="191">
        <v>27550.135564343582</v>
      </c>
      <c r="J41" s="191">
        <v>36771.364163246479</v>
      </c>
      <c r="K41" s="191">
        <v>21688.957279896611</v>
      </c>
      <c r="L41" s="191">
        <v>40097.670605058629</v>
      </c>
      <c r="M41" s="191">
        <v>39901.659711000044</v>
      </c>
      <c r="N41" s="191">
        <v>37244.835392000328</v>
      </c>
      <c r="O41" s="191">
        <v>31874.29039200001</v>
      </c>
      <c r="P41" s="191">
        <v>73327.162127000003</v>
      </c>
      <c r="Q41" s="191">
        <v>63164.461291999949</v>
      </c>
      <c r="R41" s="191">
        <v>46862.274499999985</v>
      </c>
    </row>
    <row r="42" spans="2:18" ht="12.75" customHeight="1">
      <c r="B42" s="199" t="s">
        <v>101</v>
      </c>
      <c r="C42" s="605">
        <v>62063.025703490304</v>
      </c>
      <c r="D42" s="605">
        <v>118464.190072439</v>
      </c>
      <c r="E42" s="605">
        <v>69591.341861850844</v>
      </c>
      <c r="F42" s="605">
        <v>69359.24018493414</v>
      </c>
      <c r="G42" s="605">
        <v>329327.77429909661</v>
      </c>
      <c r="H42" s="605">
        <v>288531.37674486439</v>
      </c>
      <c r="I42" s="605">
        <v>98365.213425142138</v>
      </c>
      <c r="J42" s="605">
        <v>114605.32433222572</v>
      </c>
      <c r="K42" s="605">
        <v>68158.072085231848</v>
      </c>
      <c r="L42" s="605">
        <v>102168.65304763713</v>
      </c>
      <c r="M42" s="605">
        <v>116269.3128940396</v>
      </c>
      <c r="N42" s="605">
        <f>+N40+N41</f>
        <v>87843.968394073643</v>
      </c>
      <c r="O42" s="605">
        <f>+O40+O41</f>
        <v>91211.362986000007</v>
      </c>
      <c r="P42" s="605">
        <f>+P40+P41</f>
        <v>159839.86958499998</v>
      </c>
      <c r="Q42" s="605">
        <f>+SUM(Q40:Q41)</f>
        <v>174284.62321968973</v>
      </c>
      <c r="R42" s="605">
        <f>+SUM(R40:R41)</f>
        <v>133619.48932964308</v>
      </c>
    </row>
    <row r="43" spans="2:18" ht="12.75" customHeight="1">
      <c r="B43" s="92"/>
      <c r="C43" s="173"/>
      <c r="D43" s="173"/>
      <c r="E43" s="173"/>
      <c r="F43" s="173"/>
      <c r="G43" s="173"/>
      <c r="H43" s="173"/>
      <c r="I43" s="173"/>
      <c r="J43" s="173"/>
      <c r="K43" s="173"/>
      <c r="L43" s="173"/>
      <c r="M43" s="173"/>
      <c r="N43" s="173"/>
      <c r="O43" s="173"/>
      <c r="P43" s="173"/>
      <c r="Q43" s="173"/>
      <c r="R43" s="173"/>
    </row>
    <row r="44" spans="2:18" ht="12.75" customHeight="1">
      <c r="B44" s="203" t="s">
        <v>24</v>
      </c>
      <c r="C44" s="606">
        <v>239750.32773660865</v>
      </c>
      <c r="D44" s="606">
        <v>261581.90328273986</v>
      </c>
      <c r="E44" s="606">
        <v>237867.92435595076</v>
      </c>
      <c r="F44" s="606">
        <v>257710.23755227317</v>
      </c>
      <c r="G44" s="606">
        <v>282918.86105039751</v>
      </c>
      <c r="H44" s="606">
        <v>344602.34123425058</v>
      </c>
      <c r="I44" s="606">
        <v>290566.50399241433</v>
      </c>
      <c r="J44" s="606">
        <v>275315.20404340164</v>
      </c>
      <c r="K44" s="606">
        <v>207351.48219282288</v>
      </c>
      <c r="L44" s="606">
        <v>283850.3861301305</v>
      </c>
      <c r="M44" s="606">
        <v>289138.17149550514</v>
      </c>
      <c r="N44" s="606">
        <v>261299.85626928322</v>
      </c>
      <c r="O44" s="606">
        <v>252873.84352700005</v>
      </c>
      <c r="P44" s="606">
        <v>355242.84576699999</v>
      </c>
      <c r="Q44" s="606">
        <v>417204.54135903443</v>
      </c>
      <c r="R44" s="606">
        <v>396588.97289335361</v>
      </c>
    </row>
    <row r="45" spans="2:18" ht="12.75" customHeight="1">
      <c r="B45" s="204" t="s">
        <v>25</v>
      </c>
      <c r="C45" s="607">
        <f t="shared" ref="C45:K45" si="4">+C44/C14</f>
        <v>0.37074256338762629</v>
      </c>
      <c r="D45" s="607">
        <f t="shared" si="4"/>
        <v>0.34308079570675276</v>
      </c>
      <c r="E45" s="607">
        <f t="shared" si="4"/>
        <v>0.33758311983750405</v>
      </c>
      <c r="F45" s="607">
        <f t="shared" si="4"/>
        <v>0.33990913406406265</v>
      </c>
      <c r="G45" s="607">
        <f t="shared" si="4"/>
        <v>0.34365231913274719</v>
      </c>
      <c r="H45" s="607">
        <f t="shared" si="4"/>
        <v>0.42328221855080034</v>
      </c>
      <c r="I45" s="607">
        <f t="shared" si="4"/>
        <v>0.37306217548628595</v>
      </c>
      <c r="J45" s="607">
        <f t="shared" si="4"/>
        <v>0.34276234836440095</v>
      </c>
      <c r="K45" s="607">
        <f t="shared" si="4"/>
        <v>0.25814876886365912</v>
      </c>
      <c r="L45" s="607">
        <v>0.35449540041501176</v>
      </c>
      <c r="M45" s="607">
        <f>M44/M14</f>
        <v>0.33683736881407711</v>
      </c>
      <c r="N45" s="607">
        <f>N44/N14</f>
        <v>0.31781709176102074</v>
      </c>
      <c r="O45" s="607">
        <f t="shared" ref="O45:P45" si="5">O44/O14</f>
        <v>0.29452706825127623</v>
      </c>
      <c r="P45" s="607">
        <f t="shared" si="5"/>
        <v>0.32918164876668593</v>
      </c>
      <c r="Q45" s="607">
        <v>0.36927440951522122</v>
      </c>
      <c r="R45" s="607">
        <f>+R44/R14</f>
        <v>0.36848640962143953</v>
      </c>
    </row>
    <row r="46" spans="2:18" ht="12.75" customHeight="1">
      <c r="B46" s="186"/>
      <c r="C46" s="186"/>
      <c r="D46" s="186"/>
      <c r="E46" s="186"/>
      <c r="F46" s="186"/>
      <c r="G46" s="186"/>
      <c r="H46" s="186"/>
      <c r="I46" s="186"/>
      <c r="J46" s="186"/>
      <c r="K46" s="186"/>
      <c r="L46" s="186"/>
      <c r="M46" s="186"/>
      <c r="N46" s="186"/>
      <c r="O46" s="186"/>
      <c r="P46" s="186"/>
      <c r="Q46" s="186"/>
      <c r="R46" s="186"/>
    </row>
    <row r="47" spans="2:18" ht="12.75" hidden="1" customHeight="1">
      <c r="B47" s="186"/>
      <c r="C47" s="186"/>
      <c r="D47" s="186"/>
      <c r="E47" s="186"/>
      <c r="F47" s="186"/>
      <c r="G47" s="186"/>
      <c r="H47" s="186"/>
      <c r="I47" s="186"/>
      <c r="J47" s="186"/>
      <c r="K47" s="186"/>
      <c r="L47" s="186"/>
      <c r="M47" s="186"/>
      <c r="N47" s="186"/>
      <c r="O47" s="186"/>
      <c r="P47" s="186"/>
      <c r="Q47" s="186"/>
      <c r="R47" s="186"/>
    </row>
    <row r="48" spans="2:18" ht="12.75" customHeight="1">
      <c r="B48" s="202" t="s">
        <v>410</v>
      </c>
      <c r="C48" s="191">
        <v>58677.815280999988</v>
      </c>
      <c r="D48" s="191">
        <v>56944.392969000008</v>
      </c>
      <c r="E48" s="191">
        <v>68503.703493000008</v>
      </c>
      <c r="F48" s="191">
        <v>79793.13903099997</v>
      </c>
      <c r="G48" s="191">
        <v>86322.963784999913</v>
      </c>
      <c r="H48" s="191">
        <v>66233.163970000052</v>
      </c>
      <c r="I48" s="191">
        <v>64215.142972000038</v>
      </c>
      <c r="J48" s="191">
        <v>65559.78843700001</v>
      </c>
      <c r="K48" s="191">
        <v>70058.060526000016</v>
      </c>
      <c r="L48" s="191">
        <v>72439.418115000066</v>
      </c>
      <c r="M48" s="191">
        <v>73190.311319</v>
      </c>
      <c r="N48" s="191">
        <v>79026.068452000065</v>
      </c>
      <c r="O48" s="191">
        <v>55154.180909999995</v>
      </c>
      <c r="P48" s="191">
        <v>80676.863293999952</v>
      </c>
      <c r="Q48" s="191">
        <v>79381.022373999993</v>
      </c>
      <c r="R48" s="191">
        <v>79268.116711999988</v>
      </c>
    </row>
    <row r="49" spans="2:18" ht="12.75" customHeight="1">
      <c r="B49" s="603"/>
      <c r="C49" s="604"/>
      <c r="D49" s="604"/>
      <c r="E49" s="604"/>
      <c r="F49" s="604"/>
      <c r="G49" s="604"/>
      <c r="H49" s="604"/>
      <c r="I49" s="604"/>
      <c r="J49" s="604"/>
      <c r="K49" s="604"/>
      <c r="L49" s="604"/>
      <c r="M49" s="604"/>
      <c r="N49" s="604"/>
      <c r="O49" s="604"/>
      <c r="P49" s="604"/>
      <c r="Q49" s="604"/>
    </row>
    <row r="50" spans="2:18" ht="12.75" customHeight="1">
      <c r="B50" s="603" t="s">
        <v>578</v>
      </c>
      <c r="C50" s="604"/>
      <c r="D50" s="604"/>
      <c r="E50" s="604"/>
      <c r="F50" s="604"/>
      <c r="G50" s="604"/>
      <c r="H50" s="604"/>
      <c r="I50" s="604"/>
      <c r="J50" s="604"/>
      <c r="K50" s="604"/>
      <c r="L50" s="608"/>
      <c r="M50" s="608"/>
      <c r="N50" s="608"/>
      <c r="O50" s="608"/>
      <c r="P50" s="608"/>
      <c r="Q50" s="608"/>
    </row>
    <row r="51" spans="2:18" ht="12.75" customHeight="1">
      <c r="B51" s="603" t="s">
        <v>396</v>
      </c>
      <c r="C51" s="604"/>
      <c r="D51" s="604"/>
      <c r="E51" s="604"/>
      <c r="F51" s="604"/>
      <c r="G51" s="604"/>
      <c r="H51" s="604"/>
      <c r="I51" s="604"/>
      <c r="J51" s="604"/>
      <c r="K51" s="604"/>
      <c r="L51" s="604"/>
      <c r="M51" s="604"/>
      <c r="N51" s="604"/>
      <c r="O51" s="604"/>
      <c r="P51" s="604"/>
      <c r="Q51" s="604"/>
    </row>
    <row r="52" spans="2:18" ht="12.75" customHeight="1">
      <c r="B52" s="603" t="s">
        <v>78</v>
      </c>
      <c r="C52" s="186"/>
      <c r="D52" s="186"/>
      <c r="E52" s="186"/>
      <c r="F52" s="186"/>
      <c r="G52" s="186"/>
      <c r="H52" s="186"/>
      <c r="I52" s="186"/>
      <c r="J52" s="186"/>
      <c r="K52" s="186"/>
      <c r="L52" s="186"/>
      <c r="M52" s="186"/>
      <c r="N52" s="186"/>
      <c r="O52" s="186"/>
      <c r="P52" s="186"/>
      <c r="Q52" s="186"/>
    </row>
    <row r="53" spans="2:18" ht="12.75" customHeight="1">
      <c r="B53" s="187"/>
      <c r="C53" s="232"/>
      <c r="D53" s="232"/>
      <c r="E53" s="232"/>
      <c r="F53" s="232"/>
      <c r="G53" s="232"/>
      <c r="H53" s="232"/>
      <c r="I53" s="232"/>
      <c r="J53" s="232"/>
      <c r="K53" s="232"/>
      <c r="L53" s="232"/>
      <c r="M53" s="232"/>
      <c r="N53" s="232"/>
      <c r="O53" s="232"/>
      <c r="P53" s="232"/>
      <c r="Q53" s="232"/>
    </row>
    <row r="54" spans="2:18" ht="12.75" customHeight="1">
      <c r="B54" s="188"/>
      <c r="C54" s="189" t="str">
        <f>+$C$7</f>
        <v>4T 2017</v>
      </c>
      <c r="D54" s="189" t="str">
        <f>+$D$7</f>
        <v>4T 2018</v>
      </c>
      <c r="E54" s="189" t="str">
        <f t="shared" ref="E54:K54" si="6">+E$7</f>
        <v>1T2019</v>
      </c>
      <c r="F54" s="189" t="str">
        <f t="shared" si="6"/>
        <v>2T2019</v>
      </c>
      <c r="G54" s="189" t="str">
        <f t="shared" si="6"/>
        <v>3T2019</v>
      </c>
      <c r="H54" s="189" t="str">
        <f t="shared" si="6"/>
        <v>4T2019</v>
      </c>
      <c r="I54" s="189" t="str">
        <f t="shared" si="6"/>
        <v>1T20</v>
      </c>
      <c r="J54" s="189" t="str">
        <f t="shared" si="6"/>
        <v>2T20</v>
      </c>
      <c r="K54" s="189" t="str">
        <f t="shared" si="6"/>
        <v>3T20</v>
      </c>
      <c r="L54" s="189" t="str">
        <f t="shared" ref="L54:R54" si="7">+L$2</f>
        <v>4T20</v>
      </c>
      <c r="M54" s="189" t="str">
        <f t="shared" si="7"/>
        <v>1T21</v>
      </c>
      <c r="N54" s="189" t="str">
        <f t="shared" si="7"/>
        <v>2T21</v>
      </c>
      <c r="O54" s="189" t="str">
        <f t="shared" si="7"/>
        <v>3T21</v>
      </c>
      <c r="P54" s="189" t="str">
        <f t="shared" si="7"/>
        <v>4T21</v>
      </c>
      <c r="Q54" s="189" t="str">
        <f t="shared" si="7"/>
        <v>1T22</v>
      </c>
      <c r="R54" s="189" t="str">
        <f t="shared" si="7"/>
        <v>2T22</v>
      </c>
    </row>
    <row r="55" spans="2:18" ht="12.75" customHeight="1">
      <c r="B55" s="35"/>
      <c r="C55" s="35"/>
      <c r="D55" s="35"/>
      <c r="E55" s="35"/>
      <c r="F55" s="35"/>
      <c r="G55" s="35"/>
      <c r="H55" s="35"/>
      <c r="I55" s="35"/>
      <c r="J55" s="35"/>
      <c r="K55" s="35"/>
      <c r="L55" s="35"/>
      <c r="M55" s="35"/>
      <c r="N55" s="35"/>
      <c r="O55" s="35"/>
      <c r="P55" s="35"/>
      <c r="Q55" s="35"/>
      <c r="R55" s="35"/>
    </row>
    <row r="56" spans="2:18" ht="12.75" customHeight="1">
      <c r="B56" s="190" t="s">
        <v>81</v>
      </c>
      <c r="C56" s="191">
        <v>31178.295511999997</v>
      </c>
      <c r="D56" s="191">
        <v>35954.307775999987</v>
      </c>
      <c r="E56" s="191">
        <v>-95.167493999999536</v>
      </c>
      <c r="F56" s="191">
        <v>0</v>
      </c>
      <c r="G56" s="191">
        <v>0</v>
      </c>
      <c r="H56" s="191">
        <v>0</v>
      </c>
      <c r="I56" s="191">
        <v>0</v>
      </c>
      <c r="J56" s="191">
        <v>0</v>
      </c>
      <c r="K56" s="191">
        <v>0</v>
      </c>
      <c r="L56" s="191">
        <v>0</v>
      </c>
      <c r="M56" s="191">
        <v>0</v>
      </c>
      <c r="N56" s="191">
        <v>0</v>
      </c>
      <c r="O56" s="191">
        <v>0</v>
      </c>
      <c r="P56" s="191">
        <v>0</v>
      </c>
      <c r="Q56" s="191"/>
      <c r="R56" s="191"/>
    </row>
    <row r="57" spans="2:18" ht="12.75" customHeight="1">
      <c r="B57" s="190" t="s">
        <v>82</v>
      </c>
      <c r="C57" s="191">
        <v>0</v>
      </c>
      <c r="D57" s="191">
        <v>0</v>
      </c>
      <c r="E57" s="191">
        <v>0</v>
      </c>
      <c r="F57" s="191">
        <v>0</v>
      </c>
      <c r="G57" s="191">
        <v>0</v>
      </c>
      <c r="H57" s="191">
        <v>0</v>
      </c>
      <c r="I57" s="191">
        <v>0</v>
      </c>
      <c r="J57" s="191">
        <v>0</v>
      </c>
      <c r="K57" s="191">
        <v>0</v>
      </c>
      <c r="L57" s="191">
        <v>0</v>
      </c>
      <c r="M57" s="191">
        <v>0</v>
      </c>
      <c r="N57" s="191">
        <v>0</v>
      </c>
      <c r="O57" s="191">
        <v>0</v>
      </c>
      <c r="P57" s="191">
        <v>0</v>
      </c>
      <c r="Q57" s="191"/>
      <c r="R57" s="191"/>
    </row>
    <row r="58" spans="2:18" ht="12.75" customHeight="1">
      <c r="B58" s="190" t="s">
        <v>83</v>
      </c>
      <c r="C58" s="191">
        <v>0</v>
      </c>
      <c r="D58" s="191">
        <v>0</v>
      </c>
      <c r="E58" s="191">
        <v>0</v>
      </c>
      <c r="F58" s="191">
        <v>0</v>
      </c>
      <c r="G58" s="191">
        <v>0</v>
      </c>
      <c r="H58" s="191">
        <v>0</v>
      </c>
      <c r="I58" s="191">
        <v>0</v>
      </c>
      <c r="J58" s="191">
        <v>0</v>
      </c>
      <c r="K58" s="191">
        <v>0</v>
      </c>
      <c r="L58" s="191">
        <v>0</v>
      </c>
      <c r="M58" s="191">
        <v>0</v>
      </c>
      <c r="N58" s="191">
        <v>0</v>
      </c>
      <c r="O58" s="191">
        <v>0</v>
      </c>
      <c r="P58" s="191">
        <v>0</v>
      </c>
      <c r="Q58" s="191"/>
      <c r="R58" s="191"/>
    </row>
    <row r="59" spans="2:18" ht="12.75" customHeight="1">
      <c r="B59" s="190" t="s">
        <v>84</v>
      </c>
      <c r="C59" s="191">
        <v>20223.788940000002</v>
      </c>
      <c r="D59" s="191">
        <v>21128.583793000013</v>
      </c>
      <c r="E59" s="191">
        <v>-2.2485380000000035</v>
      </c>
      <c r="F59" s="191">
        <v>0</v>
      </c>
      <c r="G59" s="191">
        <v>0</v>
      </c>
      <c r="H59" s="191">
        <v>0</v>
      </c>
      <c r="I59" s="191">
        <v>0</v>
      </c>
      <c r="J59" s="191">
        <v>0</v>
      </c>
      <c r="K59" s="191">
        <v>0</v>
      </c>
      <c r="L59" s="191">
        <v>0</v>
      </c>
      <c r="M59" s="191">
        <v>0</v>
      </c>
      <c r="N59" s="191">
        <v>0</v>
      </c>
      <c r="O59" s="191">
        <v>0</v>
      </c>
      <c r="P59" s="191">
        <v>0</v>
      </c>
      <c r="Q59" s="191"/>
      <c r="R59" s="191"/>
    </row>
    <row r="60" spans="2:18" ht="12.75" customHeight="1">
      <c r="B60" s="190" t="s">
        <v>85</v>
      </c>
      <c r="C60" s="191">
        <v>11082.577986999997</v>
      </c>
      <c r="D60" s="191">
        <v>9172.4523079999999</v>
      </c>
      <c r="E60" s="191">
        <v>13632.726688000001</v>
      </c>
      <c r="F60" s="191">
        <v>17148.162421999994</v>
      </c>
      <c r="G60" s="191">
        <v>17462.496835000005</v>
      </c>
      <c r="H60" s="191">
        <v>21717.037928999998</v>
      </c>
      <c r="I60" s="191">
        <v>35112.210944999999</v>
      </c>
      <c r="J60" s="191">
        <v>38640.352314000003</v>
      </c>
      <c r="K60" s="191">
        <v>16165.066124999998</v>
      </c>
      <c r="L60" s="191">
        <v>15278.358545999989</v>
      </c>
      <c r="M60" s="191">
        <v>11132.017041000001</v>
      </c>
      <c r="N60" s="191">
        <v>-1265.2873120000004</v>
      </c>
      <c r="O60" s="191">
        <v>13904.614281</v>
      </c>
      <c r="P60" s="191">
        <v>-163443.41201</v>
      </c>
      <c r="Q60" s="191">
        <v>15374.390343999999</v>
      </c>
      <c r="R60" s="191">
        <v>21496.443369000001</v>
      </c>
    </row>
    <row r="61" spans="2:18" ht="12.75" customHeight="1">
      <c r="B61" s="190" t="s">
        <v>534</v>
      </c>
      <c r="C61" s="191">
        <v>85722.907920999976</v>
      </c>
      <c r="D61" s="191">
        <v>85348.108575999999</v>
      </c>
      <c r="E61" s="191">
        <v>46172.269987999993</v>
      </c>
      <c r="F61" s="191">
        <v>31766.013546000024</v>
      </c>
      <c r="G61" s="191">
        <v>37304.447082999963</v>
      </c>
      <c r="H61" s="191">
        <v>12756.867299000063</v>
      </c>
      <c r="I61" s="191">
        <v>52975.698376</v>
      </c>
      <c r="J61" s="191">
        <v>76890.296674000012</v>
      </c>
      <c r="K61" s="191">
        <v>90047.246438999966</v>
      </c>
      <c r="L61" s="191">
        <v>80273.573456000013</v>
      </c>
      <c r="M61" s="191">
        <v>85351.767441000004</v>
      </c>
      <c r="N61" s="191">
        <v>129370.49628000005</v>
      </c>
      <c r="O61" s="191">
        <v>100804.00947099994</v>
      </c>
      <c r="P61" s="191">
        <v>287506.72680800001</v>
      </c>
      <c r="Q61" s="191">
        <v>109995.09480499997</v>
      </c>
      <c r="R61" s="191">
        <v>108110.24391800005</v>
      </c>
    </row>
    <row r="62" spans="2:18" ht="12.75" customHeight="1">
      <c r="B62" s="186" t="s">
        <v>86</v>
      </c>
      <c r="C62" s="192">
        <v>62484.662438999992</v>
      </c>
      <c r="D62" s="192">
        <v>66255.343877000007</v>
      </c>
      <c r="E62" s="192">
        <f t="shared" ref="E62:J62" si="8">SUM(E56:E61)</f>
        <v>59707.580643999994</v>
      </c>
      <c r="F62" s="192">
        <f t="shared" si="8"/>
        <v>48914.175968000018</v>
      </c>
      <c r="G62" s="192">
        <f t="shared" si="8"/>
        <v>54766.943917999968</v>
      </c>
      <c r="H62" s="192">
        <f t="shared" si="8"/>
        <v>34473.905228000061</v>
      </c>
      <c r="I62" s="192">
        <f t="shared" si="8"/>
        <v>88087.909320999999</v>
      </c>
      <c r="J62" s="192">
        <f t="shared" si="8"/>
        <v>115530.64898800002</v>
      </c>
      <c r="K62" s="192">
        <v>106212.31256399996</v>
      </c>
      <c r="L62" s="192">
        <v>95551.932002000001</v>
      </c>
      <c r="M62" s="192">
        <v>96483.784482000003</v>
      </c>
      <c r="N62" s="192">
        <f>SUM(N56:N61)</f>
        <v>128105.20896800005</v>
      </c>
      <c r="O62" s="192">
        <v>114708.62375199993</v>
      </c>
      <c r="P62" s="192">
        <v>124063.31479800001</v>
      </c>
      <c r="Q62" s="192">
        <f>+SUM(Q60:Q61)</f>
        <v>125369.48514899997</v>
      </c>
      <c r="R62" s="192">
        <f>+SUM(R60:R61)</f>
        <v>129606.68728700005</v>
      </c>
    </row>
    <row r="63" spans="2:18" ht="12.75" customHeight="1">
      <c r="B63" s="186"/>
      <c r="C63" s="186"/>
      <c r="D63" s="186"/>
      <c r="E63" s="186"/>
      <c r="F63" s="186"/>
      <c r="G63" s="186"/>
      <c r="H63" s="186"/>
      <c r="I63" s="186"/>
      <c r="J63" s="186"/>
      <c r="K63" s="186"/>
      <c r="L63" s="186"/>
      <c r="M63" s="186"/>
      <c r="N63" s="186"/>
      <c r="O63" s="186"/>
      <c r="P63" s="186"/>
      <c r="Q63" s="186"/>
      <c r="R63" s="186"/>
    </row>
    <row r="64" spans="2:18" ht="12.75" customHeight="1">
      <c r="B64" s="186" t="s">
        <v>87</v>
      </c>
      <c r="C64" s="193">
        <v>-30799.984422999973</v>
      </c>
      <c r="D64" s="193">
        <v>-34492.904085000031</v>
      </c>
      <c r="E64" s="193">
        <v>-6147.1232310000005</v>
      </c>
      <c r="F64" s="193">
        <v>-5743.4377150000028</v>
      </c>
      <c r="G64" s="193">
        <v>-6174.1341699999957</v>
      </c>
      <c r="H64" s="193">
        <v>-6847.0678280000029</v>
      </c>
      <c r="I64" s="193">
        <v>-5417.8952490000038</v>
      </c>
      <c r="J64" s="193">
        <v>-5211.2349239999958</v>
      </c>
      <c r="K64" s="193">
        <v>-5811.2247420000003</v>
      </c>
      <c r="L64" s="193">
        <v>-6871.7325850000016</v>
      </c>
      <c r="M64" s="193">
        <v>-6427.2881449999995</v>
      </c>
      <c r="N64" s="193">
        <v>-10522.904898000001</v>
      </c>
      <c r="O64" s="193">
        <v>521.3810389999926</v>
      </c>
      <c r="P64" s="193">
        <v>-7039.1879959999933</v>
      </c>
      <c r="Q64" s="600">
        <v>-6425.6238369999992</v>
      </c>
      <c r="R64" s="600">
        <v>-5906.7958740000031</v>
      </c>
    </row>
    <row r="65" spans="2:18" ht="12.75" customHeight="1">
      <c r="B65" s="194" t="s">
        <v>88</v>
      </c>
      <c r="C65" s="605">
        <v>31684.67801600002</v>
      </c>
      <c r="D65" s="605">
        <v>31762.439791999976</v>
      </c>
      <c r="E65" s="605">
        <f>+E62+E64</f>
        <v>53560.457412999996</v>
      </c>
      <c r="F65" s="605">
        <f>+F62+F64</f>
        <v>43170.738253000018</v>
      </c>
      <c r="G65" s="605">
        <f>+G62+G64</f>
        <v>48592.809747999971</v>
      </c>
      <c r="H65" s="605">
        <f>+H62+H64</f>
        <v>27626.837400000059</v>
      </c>
      <c r="I65" s="605">
        <f>+I62+I64</f>
        <v>82670.014071999991</v>
      </c>
      <c r="J65" s="605">
        <v>110319.41406400003</v>
      </c>
      <c r="K65" s="605">
        <v>100401.08782199996</v>
      </c>
      <c r="L65" s="605">
        <v>88680.199416999996</v>
      </c>
      <c r="M65" s="605">
        <v>90056.496337000019</v>
      </c>
      <c r="N65" s="605">
        <f>+N62+N64</f>
        <v>117582.30407000004</v>
      </c>
      <c r="O65" s="605">
        <f>+O62+O64</f>
        <v>115230.00479099993</v>
      </c>
      <c r="P65" s="605">
        <v>117024.12680200001</v>
      </c>
      <c r="Q65" s="605">
        <f>+Q62+Q64</f>
        <v>118943.86131199996</v>
      </c>
      <c r="R65" s="605">
        <f>+R62+R64</f>
        <v>123699.89141300005</v>
      </c>
    </row>
    <row r="66" spans="2:18" ht="12.75" customHeight="1">
      <c r="B66" s="195" t="s">
        <v>89</v>
      </c>
      <c r="C66" s="200">
        <f t="shared" ref="C66:I66" si="9">+C65/C62</f>
        <v>0.50707928600769603</v>
      </c>
      <c r="D66" s="200">
        <f t="shared" si="9"/>
        <v>0.47939438441321025</v>
      </c>
      <c r="E66" s="200">
        <f t="shared" si="9"/>
        <v>0.89704618467709218</v>
      </c>
      <c r="F66" s="200">
        <f t="shared" si="9"/>
        <v>0.88258132532463807</v>
      </c>
      <c r="G66" s="200">
        <f t="shared" si="9"/>
        <v>0.88726531501841244</v>
      </c>
      <c r="H66" s="200">
        <f t="shared" si="9"/>
        <v>0.80138403866009522</v>
      </c>
      <c r="I66" s="200">
        <f t="shared" si="9"/>
        <v>0.93849445070541149</v>
      </c>
      <c r="J66" s="200">
        <f t="shared" ref="J66:R66" si="10">+J65/J62</f>
        <v>0.95489305245276279</v>
      </c>
      <c r="K66" s="200">
        <f t="shared" si="10"/>
        <v>0.94528671298350309</v>
      </c>
      <c r="L66" s="200">
        <f t="shared" si="10"/>
        <v>0.92808379233131388</v>
      </c>
      <c r="M66" s="200">
        <f t="shared" si="10"/>
        <v>0.93338478398720914</v>
      </c>
      <c r="N66" s="200">
        <f t="shared" si="10"/>
        <v>0.91785732225276984</v>
      </c>
      <c r="O66" s="200">
        <f t="shared" si="10"/>
        <v>1.0045452645315249</v>
      </c>
      <c r="P66" s="200">
        <f t="shared" si="10"/>
        <v>0.9432613258201169</v>
      </c>
      <c r="Q66" s="200">
        <f t="shared" si="10"/>
        <v>0.9487465085354444</v>
      </c>
      <c r="R66" s="200">
        <f t="shared" si="10"/>
        <v>0.9544252229754161</v>
      </c>
    </row>
    <row r="67" spans="2:18" ht="12.75" customHeight="1">
      <c r="B67" s="195"/>
      <c r="C67" s="195"/>
      <c r="D67" s="195"/>
      <c r="E67" s="195"/>
      <c r="F67" s="195"/>
      <c r="G67" s="195"/>
      <c r="H67" s="195"/>
      <c r="I67" s="195"/>
      <c r="J67" s="195"/>
      <c r="K67" s="195"/>
      <c r="L67" s="195"/>
      <c r="M67" s="195"/>
      <c r="N67" s="195"/>
      <c r="O67" s="195"/>
      <c r="P67" s="195"/>
      <c r="Q67" s="195"/>
      <c r="R67" s="195"/>
    </row>
    <row r="68" spans="2:18" ht="12.75" customHeight="1">
      <c r="B68" s="190" t="s">
        <v>90</v>
      </c>
      <c r="C68" s="191">
        <v>428.07912699999986</v>
      </c>
      <c r="D68" s="191">
        <v>312995.76408599998</v>
      </c>
      <c r="E68" s="191">
        <v>110.418572</v>
      </c>
      <c r="F68" s="191">
        <v>33.901921000000002</v>
      </c>
      <c r="G68" s="191">
        <v>311500.47878799989</v>
      </c>
      <c r="H68" s="191">
        <v>162.73662100010552</v>
      </c>
      <c r="I68" s="191">
        <v>8.4204720000000002</v>
      </c>
      <c r="J68" s="191">
        <v>55.621445000000001</v>
      </c>
      <c r="K68" s="191">
        <v>15.104501999999993</v>
      </c>
      <c r="L68" s="191">
        <v>215.95654599999997</v>
      </c>
      <c r="M68" s="191">
        <v>9.0754419999999989</v>
      </c>
      <c r="N68" s="191">
        <v>28.701273</v>
      </c>
      <c r="O68" s="191">
        <v>37570.375948999994</v>
      </c>
      <c r="P68" s="191">
        <v>4076.8473360000062</v>
      </c>
      <c r="Q68" s="601">
        <v>63.570242999999998</v>
      </c>
      <c r="R68" s="601">
        <v>265.12846399999995</v>
      </c>
    </row>
    <row r="69" spans="2:18" ht="12.75" customHeight="1">
      <c r="B69" s="196" t="s">
        <v>91</v>
      </c>
      <c r="C69" s="191">
        <v>-11619.892492999941</v>
      </c>
      <c r="D69" s="191">
        <v>-15894.501559000011</v>
      </c>
      <c r="E69" s="191">
        <v>-9449.2195129999982</v>
      </c>
      <c r="F69" s="191">
        <v>-12136.070067999999</v>
      </c>
      <c r="G69" s="191">
        <v>-12370.714291000018</v>
      </c>
      <c r="H69" s="191">
        <v>-10317.425366999982</v>
      </c>
      <c r="I69" s="191">
        <v>-8371.2350320000041</v>
      </c>
      <c r="J69" s="191">
        <v>-8084.967508999991</v>
      </c>
      <c r="K69" s="191">
        <v>-8039.7584020000068</v>
      </c>
      <c r="L69" s="191">
        <v>-8459.165186000002</v>
      </c>
      <c r="M69" s="191">
        <v>-6190.2484879999984</v>
      </c>
      <c r="N69" s="191">
        <v>-7974.0504400000018</v>
      </c>
      <c r="O69" s="191">
        <v>-7473.5495670000055</v>
      </c>
      <c r="P69" s="191">
        <v>-7547.1515049999944</v>
      </c>
      <c r="Q69" s="601">
        <v>-7296.0689349999948</v>
      </c>
      <c r="R69" s="601">
        <v>-8645.211933000006</v>
      </c>
    </row>
    <row r="70" spans="2:18" ht="12.75" customHeight="1">
      <c r="B70" s="190" t="s">
        <v>92</v>
      </c>
      <c r="C70" s="191">
        <v>-270.19763500000045</v>
      </c>
      <c r="D70" s="191">
        <v>-298.49976900000001</v>
      </c>
      <c r="E70" s="191">
        <v>-4451.1492749999989</v>
      </c>
      <c r="F70" s="191">
        <v>-258.40186200000062</v>
      </c>
      <c r="G70" s="191">
        <v>-255.24743800000033</v>
      </c>
      <c r="H70" s="191">
        <v>-200361.28703500002</v>
      </c>
      <c r="I70" s="191">
        <v>-4985.5968570000014</v>
      </c>
      <c r="J70" s="191">
        <v>-763.05389399999785</v>
      </c>
      <c r="K70" s="191">
        <v>-38774.568893000003</v>
      </c>
      <c r="L70" s="191">
        <v>-1175.139777999997</v>
      </c>
      <c r="M70" s="191">
        <v>-5161.4861330000003</v>
      </c>
      <c r="N70" s="191">
        <v>-59971.976735999997</v>
      </c>
      <c r="O70" s="191">
        <v>-72292.975709000035</v>
      </c>
      <c r="P70" s="191">
        <v>-9.4934219999995548</v>
      </c>
      <c r="Q70" s="601">
        <v>-5405.6266029999997</v>
      </c>
      <c r="R70" s="601">
        <v>-4.4100209999996878</v>
      </c>
    </row>
    <row r="71" spans="2:18" ht="12.75" customHeight="1">
      <c r="B71" s="194" t="s">
        <v>93</v>
      </c>
      <c r="C71" s="605">
        <v>105945.57493600005</v>
      </c>
      <c r="D71" s="605">
        <v>413913.31112600002</v>
      </c>
      <c r="E71" s="605">
        <v>39770.507196999999</v>
      </c>
      <c r="F71" s="605">
        <v>30810.168244000015</v>
      </c>
      <c r="G71" s="605">
        <v>347467.32680699986</v>
      </c>
      <c r="H71" s="605">
        <v>-182889.13838099982</v>
      </c>
      <c r="I71" s="605">
        <f>+I65+I68+I69+I70</f>
        <v>69321.602654999995</v>
      </c>
      <c r="J71" s="605">
        <v>101527.01410600003</v>
      </c>
      <c r="K71" s="605">
        <v>53601.86502899995</v>
      </c>
      <c r="L71" s="605">
        <v>79261.850999000002</v>
      </c>
      <c r="M71" s="605">
        <v>78713.837158000009</v>
      </c>
      <c r="N71" s="605">
        <f>+N65+N68+N69+N70</f>
        <v>49664.978167000038</v>
      </c>
      <c r="O71" s="605">
        <f>+O65+O68+O69+O70</f>
        <v>73033.855463999891</v>
      </c>
      <c r="P71" s="605">
        <v>113544.32921100003</v>
      </c>
      <c r="Q71" s="605">
        <f>+Q65+SUM(Q68:Q70)</f>
        <v>106305.73601699997</v>
      </c>
      <c r="R71" s="605">
        <f>+R65+SUM(R68:R70)</f>
        <v>115315.39792300004</v>
      </c>
    </row>
    <row r="72" spans="2:18" ht="12.75" customHeight="1">
      <c r="B72" s="197"/>
      <c r="C72" s="198"/>
      <c r="D72" s="198"/>
      <c r="E72" s="198"/>
      <c r="F72" s="198"/>
      <c r="G72" s="198"/>
      <c r="H72" s="198"/>
      <c r="I72" s="198"/>
      <c r="J72" s="198"/>
      <c r="K72" s="198"/>
      <c r="L72" s="198"/>
      <c r="M72" s="198"/>
      <c r="N72" s="198"/>
      <c r="O72" s="198"/>
      <c r="P72" s="198"/>
      <c r="Q72" s="198"/>
      <c r="R72" s="198"/>
    </row>
    <row r="73" spans="2:18" ht="12.75" customHeight="1">
      <c r="B73" s="196" t="s">
        <v>94</v>
      </c>
      <c r="C73" s="191">
        <v>3380.1845629999989</v>
      </c>
      <c r="D73" s="191">
        <v>2605.7614849999954</v>
      </c>
      <c r="E73" s="191">
        <v>13900.125640999999</v>
      </c>
      <c r="F73" s="191">
        <v>11691.150029000004</v>
      </c>
      <c r="G73" s="191">
        <v>10834.129706</v>
      </c>
      <c r="H73" s="191">
        <v>17961.440821999997</v>
      </c>
      <c r="I73" s="191">
        <v>13594.685891000001</v>
      </c>
      <c r="J73" s="191">
        <v>12151.671995999997</v>
      </c>
      <c r="K73" s="191">
        <v>11160.552577000009</v>
      </c>
      <c r="L73" s="191">
        <v>7503.5369369999898</v>
      </c>
      <c r="M73" s="191">
        <v>8392.840044999999</v>
      </c>
      <c r="N73" s="191">
        <v>9075.5328020000034</v>
      </c>
      <c r="O73" s="191">
        <v>10633.463533999999</v>
      </c>
      <c r="P73" s="191">
        <v>11813.163618999999</v>
      </c>
      <c r="Q73" s="601">
        <v>12627.807697</v>
      </c>
      <c r="R73" s="601">
        <v>14600.874467000001</v>
      </c>
    </row>
    <row r="74" spans="2:18" ht="12.75" customHeight="1">
      <c r="B74" s="196" t="s">
        <v>95</v>
      </c>
      <c r="C74" s="191">
        <v>-26132.55495900003</v>
      </c>
      <c r="D74" s="191">
        <v>-19034.131368999988</v>
      </c>
      <c r="E74" s="191">
        <v>-17404.478546000002</v>
      </c>
      <c r="F74" s="191">
        <v>-18709.47427699999</v>
      </c>
      <c r="G74" s="191">
        <v>-19141.20115600001</v>
      </c>
      <c r="H74" s="191">
        <v>-20030.429661999988</v>
      </c>
      <c r="I74" s="191">
        <v>-13770.175984</v>
      </c>
      <c r="J74" s="191">
        <v>-12992.151058000001</v>
      </c>
      <c r="K74" s="191">
        <v>-11295.567703999997</v>
      </c>
      <c r="L74" s="191">
        <v>-8689.6927680000008</v>
      </c>
      <c r="M74" s="191">
        <v>-9228.4481780000006</v>
      </c>
      <c r="N74" s="191">
        <v>-11862.110044999999</v>
      </c>
      <c r="O74" s="191">
        <v>-13847.899152999998</v>
      </c>
      <c r="P74" s="191">
        <v>-16712.542624000002</v>
      </c>
      <c r="Q74" s="601">
        <v>-19103.981097000004</v>
      </c>
      <c r="R74" s="601">
        <v>-22944.193335000004</v>
      </c>
    </row>
    <row r="75" spans="2:18" ht="12.75" customHeight="1">
      <c r="B75" s="196" t="s">
        <v>242</v>
      </c>
      <c r="C75" s="191">
        <v>310.53763299999997</v>
      </c>
      <c r="D75" s="191">
        <v>4119.4811429999936</v>
      </c>
      <c r="E75" s="191">
        <v>1231.5086719999999</v>
      </c>
      <c r="F75" s="191">
        <v>141.33085000000005</v>
      </c>
      <c r="G75" s="191">
        <v>30007.543452000002</v>
      </c>
      <c r="H75" s="191">
        <v>-8490.5612430000147</v>
      </c>
      <c r="I75" s="191">
        <v>22114.798734000007</v>
      </c>
      <c r="J75" s="191">
        <v>-9460.7854230000103</v>
      </c>
      <c r="K75" s="191">
        <v>3615.9952410000024</v>
      </c>
      <c r="L75" s="191">
        <v>-18860.283208000001</v>
      </c>
      <c r="M75" s="191">
        <v>13690.916587000002</v>
      </c>
      <c r="N75" s="191">
        <v>907.30853299999944</v>
      </c>
      <c r="O75" s="191">
        <v>4969.2612059999974</v>
      </c>
      <c r="P75" s="191">
        <v>21931.513674000002</v>
      </c>
      <c r="Q75" s="601">
        <v>-866.87618199999997</v>
      </c>
      <c r="R75" s="601">
        <v>1301.5228109999998</v>
      </c>
    </row>
    <row r="76" spans="2:18" ht="12.75" customHeight="1">
      <c r="B76" s="194" t="s">
        <v>96</v>
      </c>
      <c r="C76" s="605">
        <v>83503.742173000021</v>
      </c>
      <c r="D76" s="605">
        <v>401604.42238500004</v>
      </c>
      <c r="E76" s="605">
        <f>+E71+E73+E74+E75</f>
        <v>37497.662963999988</v>
      </c>
      <c r="F76" s="605">
        <f>+F71+F73+F74+F75</f>
        <v>23933.174846000027</v>
      </c>
      <c r="G76" s="605">
        <f>+G71+G73+G74+G75</f>
        <v>369167.79880899983</v>
      </c>
      <c r="H76" s="605">
        <f>+H71+H73+H74+H75</f>
        <v>-193448.6884639998</v>
      </c>
      <c r="I76" s="605">
        <f>+I71+I73+I74+I75</f>
        <v>91260.911296000006</v>
      </c>
      <c r="J76" s="605">
        <v>91225.749621000024</v>
      </c>
      <c r="K76" s="605">
        <v>57082.845142999962</v>
      </c>
      <c r="L76" s="605">
        <v>59215.411959999976</v>
      </c>
      <c r="M76" s="605">
        <v>91569.145612000008</v>
      </c>
      <c r="N76" s="605">
        <f>+N71+N73+N74+N75</f>
        <v>47785.709457000034</v>
      </c>
      <c r="O76" s="605">
        <f>+O71+O73+O74+O75</f>
        <v>74788.681050999876</v>
      </c>
      <c r="P76" s="605">
        <v>130576.46388000005</v>
      </c>
      <c r="Q76" s="605">
        <f>+Q71+SUM(Q73:Q75)</f>
        <v>98962.686434999967</v>
      </c>
      <c r="R76" s="605">
        <f>+R71+SUM(R73:R75)</f>
        <v>108273.60186600004</v>
      </c>
    </row>
    <row r="77" spans="2:18" ht="12.75" customHeight="1">
      <c r="B77" s="43" t="s">
        <v>243</v>
      </c>
      <c r="C77" s="191">
        <v>-9572.90517</v>
      </c>
      <c r="D77" s="191">
        <v>2813.3168129999995</v>
      </c>
      <c r="E77" s="191">
        <v>-2855.2006379999998</v>
      </c>
      <c r="F77" s="191">
        <v>-3981.8186520000004</v>
      </c>
      <c r="G77" s="191">
        <v>1151.5645930000001</v>
      </c>
      <c r="H77" s="191">
        <v>-41825.735866000003</v>
      </c>
      <c r="I77" s="191">
        <v>-17433.379527000001</v>
      </c>
      <c r="J77" s="191">
        <v>1120.5213400000011</v>
      </c>
      <c r="K77" s="191">
        <v>-1899.1892270000008</v>
      </c>
      <c r="L77" s="191">
        <v>12525.562631000001</v>
      </c>
      <c r="M77" s="191">
        <v>-3809.6073379999998</v>
      </c>
      <c r="N77" s="191">
        <v>502.42378499999995</v>
      </c>
      <c r="O77" s="191">
        <v>-2889.8043420000004</v>
      </c>
      <c r="P77" s="191">
        <v>2534.820909</v>
      </c>
      <c r="Q77" s="601">
        <v>3187.0520630000001</v>
      </c>
      <c r="R77" s="601">
        <v>-2115.9725870000002</v>
      </c>
    </row>
    <row r="78" spans="2:18" ht="12.75" customHeight="1">
      <c r="B78" s="196" t="s">
        <v>394</v>
      </c>
      <c r="C78" s="191">
        <v>0</v>
      </c>
      <c r="D78" s="191">
        <v>-25671.618474999999</v>
      </c>
      <c r="E78" s="191">
        <v>-492.96144600000002</v>
      </c>
      <c r="F78" s="191">
        <v>-4129.3170410000002</v>
      </c>
      <c r="G78" s="191">
        <v>-62684.460397000003</v>
      </c>
      <c r="H78" s="191">
        <v>-1714.904760999998</v>
      </c>
      <c r="I78" s="191">
        <v>-2678.716383</v>
      </c>
      <c r="J78" s="191">
        <v>-6106.0870019999993</v>
      </c>
      <c r="K78" s="191">
        <v>2812.8103529999989</v>
      </c>
      <c r="L78" s="191">
        <v>-4602.7810799999988</v>
      </c>
      <c r="M78" s="191">
        <v>-689.78423099999998</v>
      </c>
      <c r="N78" s="191">
        <v>4341.7353490000005</v>
      </c>
      <c r="O78" s="191">
        <v>433.82615900000019</v>
      </c>
      <c r="P78" s="191">
        <v>-3293.0476900000003</v>
      </c>
      <c r="Q78" s="191"/>
      <c r="R78" s="191">
        <v>-1.411</v>
      </c>
    </row>
    <row r="79" spans="2:18" ht="12.75" customHeight="1">
      <c r="B79" s="199" t="s">
        <v>97</v>
      </c>
      <c r="C79" s="605">
        <v>73930.837003000022</v>
      </c>
      <c r="D79" s="605">
        <v>378746.12072300003</v>
      </c>
      <c r="E79" s="605">
        <v>34149.50088</v>
      </c>
      <c r="F79" s="605">
        <v>15822.039153000029</v>
      </c>
      <c r="G79" s="605">
        <v>307634.90300499985</v>
      </c>
      <c r="H79" s="605">
        <v>-236989.32909099979</v>
      </c>
      <c r="I79" s="605">
        <v>71148.815385999987</v>
      </c>
      <c r="J79" s="605">
        <v>86240.183959000002</v>
      </c>
      <c r="K79" s="605">
        <v>57996.46626899996</v>
      </c>
      <c r="L79" s="605">
        <v>67138.193510999976</v>
      </c>
      <c r="M79" s="605">
        <v>87069.754043000008</v>
      </c>
      <c r="N79" s="605">
        <f>+N76+N77+N78</f>
        <v>52629.868591000035</v>
      </c>
      <c r="O79" s="605">
        <f>+O76+O77+O78</f>
        <v>72332.702867999877</v>
      </c>
      <c r="P79" s="605">
        <v>129818.23709900002</v>
      </c>
      <c r="Q79" s="605">
        <f>+Q76+SUM(Q77:Q78)</f>
        <v>102149.73849799996</v>
      </c>
      <c r="R79" s="605">
        <f>+R76+SUM(R77:R78)</f>
        <v>106156.21827900004</v>
      </c>
    </row>
    <row r="80" spans="2:18" ht="12.75" customHeight="1">
      <c r="B80" s="195"/>
      <c r="C80" s="200"/>
      <c r="D80" s="200"/>
      <c r="E80" s="200"/>
      <c r="F80" s="200"/>
      <c r="G80" s="200"/>
      <c r="H80" s="200"/>
      <c r="I80" s="200"/>
      <c r="J80" s="200"/>
      <c r="K80" s="200"/>
      <c r="L80" s="200"/>
      <c r="M80" s="200"/>
      <c r="N80" s="200"/>
      <c r="O80" s="200"/>
      <c r="P80" s="200"/>
      <c r="Q80" s="200"/>
      <c r="R80" s="200"/>
    </row>
    <row r="81" spans="2:18" ht="12.75" customHeight="1">
      <c r="B81" s="92"/>
      <c r="C81" s="173"/>
      <c r="D81" s="173"/>
      <c r="E81" s="173"/>
      <c r="F81" s="173"/>
      <c r="G81" s="173"/>
      <c r="H81" s="173"/>
      <c r="I81" s="173"/>
      <c r="J81" s="173"/>
      <c r="K81" s="173"/>
      <c r="L81" s="173"/>
      <c r="M81" s="173"/>
      <c r="N81" s="173"/>
      <c r="O81" s="173"/>
      <c r="P81" s="173"/>
      <c r="Q81" s="173"/>
      <c r="R81" s="173"/>
    </row>
    <row r="82" spans="2:18" ht="12.75" customHeight="1">
      <c r="B82" s="104" t="s">
        <v>98</v>
      </c>
      <c r="C82" s="201"/>
      <c r="D82" s="201"/>
      <c r="E82" s="201"/>
      <c r="F82" s="201"/>
      <c r="G82" s="201"/>
      <c r="H82" s="201"/>
      <c r="I82" s="201"/>
      <c r="J82" s="201"/>
      <c r="K82" s="201"/>
      <c r="L82" s="201"/>
      <c r="M82" s="201"/>
      <c r="N82" s="201"/>
      <c r="O82" s="201"/>
      <c r="P82" s="201"/>
      <c r="Q82" s="201"/>
      <c r="R82" s="201"/>
    </row>
    <row r="83" spans="2:18" ht="12.75" customHeight="1">
      <c r="B83" s="202" t="s">
        <v>99</v>
      </c>
      <c r="C83" s="191">
        <v>73930.837003000037</v>
      </c>
      <c r="D83" s="191">
        <v>378746.12072299991</v>
      </c>
      <c r="E83" s="191">
        <v>34149.500879999985</v>
      </c>
      <c r="F83" s="191">
        <v>15822.039153000027</v>
      </c>
      <c r="G83" s="191">
        <v>307634.9030049998</v>
      </c>
      <c r="H83" s="191">
        <v>-236989.32909099979</v>
      </c>
      <c r="I83" s="191">
        <v>71148.815385999987</v>
      </c>
      <c r="J83" s="191">
        <v>86240.183959000002</v>
      </c>
      <c r="K83" s="191">
        <v>57996.466269000004</v>
      </c>
      <c r="L83" s="191">
        <v>67138.19351099999</v>
      </c>
      <c r="M83" s="191">
        <v>87069.754043000008</v>
      </c>
      <c r="N83" s="191">
        <f>+N79</f>
        <v>52629.868591000035</v>
      </c>
      <c r="O83" s="191">
        <v>72332.702867999877</v>
      </c>
      <c r="P83" s="191">
        <v>129818.23709899999</v>
      </c>
      <c r="Q83" s="191">
        <f>+Q79</f>
        <v>102149.73849799996</v>
      </c>
      <c r="R83" s="191">
        <v>106156.21827900002</v>
      </c>
    </row>
    <row r="84" spans="2:18" ht="12.75" customHeight="1">
      <c r="B84" s="202" t="s">
        <v>100</v>
      </c>
      <c r="C84" s="191">
        <v>0</v>
      </c>
      <c r="D84" s="191">
        <v>0</v>
      </c>
      <c r="E84" s="191">
        <v>0</v>
      </c>
      <c r="F84" s="191">
        <v>0</v>
      </c>
      <c r="G84" s="191">
        <v>0</v>
      </c>
      <c r="H84" s="191">
        <v>0</v>
      </c>
      <c r="I84" s="191">
        <v>0</v>
      </c>
      <c r="J84" s="191">
        <v>0</v>
      </c>
      <c r="K84" s="191">
        <v>0</v>
      </c>
      <c r="L84" s="191">
        <v>0</v>
      </c>
      <c r="M84" s="191">
        <v>0</v>
      </c>
      <c r="N84" s="191">
        <v>0</v>
      </c>
      <c r="O84" s="191">
        <v>0</v>
      </c>
      <c r="P84" s="191">
        <v>0</v>
      </c>
      <c r="Q84" s="191"/>
      <c r="R84" s="191"/>
    </row>
    <row r="85" spans="2:18" ht="12.75" customHeight="1">
      <c r="B85" s="199" t="s">
        <v>101</v>
      </c>
      <c r="C85" s="605">
        <v>73930.837003000037</v>
      </c>
      <c r="D85" s="605">
        <v>378746.12072299991</v>
      </c>
      <c r="E85" s="605">
        <v>34149.500879999985</v>
      </c>
      <c r="F85" s="605">
        <v>15822.039153000027</v>
      </c>
      <c r="G85" s="605">
        <v>307634.9030049998</v>
      </c>
      <c r="H85" s="605">
        <v>-236989.32909099979</v>
      </c>
      <c r="I85" s="605">
        <v>71148.815385999987</v>
      </c>
      <c r="J85" s="605">
        <v>86240.183959000002</v>
      </c>
      <c r="K85" s="605">
        <v>57996.466269000004</v>
      </c>
      <c r="L85" s="605">
        <v>67138.19351099999</v>
      </c>
      <c r="M85" s="605">
        <v>87069.754043000008</v>
      </c>
      <c r="N85" s="605">
        <f>+N83</f>
        <v>52629.868591000035</v>
      </c>
      <c r="O85" s="605">
        <f>+O83</f>
        <v>72332.702867999877</v>
      </c>
      <c r="P85" s="605">
        <v>129818.23709899999</v>
      </c>
      <c r="Q85" s="605">
        <f>+Q83+Q84</f>
        <v>102149.73849799996</v>
      </c>
      <c r="R85" s="605">
        <f>+R83+R84</f>
        <v>106156.21827900002</v>
      </c>
    </row>
    <row r="86" spans="2:18" ht="12.75" customHeight="1">
      <c r="B86" s="92"/>
      <c r="C86" s="173"/>
      <c r="D86" s="173"/>
      <c r="E86" s="173"/>
      <c r="F86" s="173"/>
      <c r="G86" s="173"/>
      <c r="H86" s="173"/>
      <c r="I86" s="173"/>
      <c r="J86" s="173"/>
      <c r="K86" s="173"/>
      <c r="L86" s="173"/>
      <c r="M86" s="173"/>
      <c r="N86" s="173"/>
      <c r="O86" s="173"/>
      <c r="P86" s="173"/>
      <c r="Q86" s="173"/>
      <c r="R86" s="173"/>
    </row>
    <row r="87" spans="2:18" ht="12.75" customHeight="1">
      <c r="B87" s="203" t="s">
        <v>24</v>
      </c>
      <c r="C87" s="606">
        <v>23801.400856000077</v>
      </c>
      <c r="D87" s="606">
        <v>24264.883248999966</v>
      </c>
      <c r="E87" s="606">
        <v>1257.0355020000025</v>
      </c>
      <c r="F87" s="606">
        <v>3001.287148999992</v>
      </c>
      <c r="G87" s="606">
        <v>2453.6890119999916</v>
      </c>
      <c r="H87" s="606">
        <v>7938.9106330000122</v>
      </c>
      <c r="I87" s="606">
        <v>24549.238533999993</v>
      </c>
      <c r="J87" s="606">
        <f>+J60+J64+J69+J92</f>
        <v>28714.957098000014</v>
      </c>
      <c r="K87" s="606">
        <v>6087.7744709999824</v>
      </c>
      <c r="L87" s="606">
        <v>3920.9991169999848</v>
      </c>
      <c r="M87" s="606">
        <v>3432.1214970000037</v>
      </c>
      <c r="N87" s="606">
        <v>-11720.098859999982</v>
      </c>
      <c r="O87" s="606">
        <v>3492.1820359999583</v>
      </c>
      <c r="P87" s="606">
        <v>-174787.69328899996</v>
      </c>
      <c r="Q87" s="606">
        <v>4842.263348000004</v>
      </c>
      <c r="R87" s="606">
        <v>10112.308217999976</v>
      </c>
    </row>
    <row r="88" spans="2:18" ht="12.75" customHeight="1">
      <c r="B88" s="204" t="s">
        <v>25</v>
      </c>
      <c r="C88" s="607">
        <f t="shared" ref="C88:I88" si="11">+C87/C62</f>
        <v>0.3809158908273842</v>
      </c>
      <c r="D88" s="607">
        <f t="shared" si="11"/>
        <v>0.36623284748240992</v>
      </c>
      <c r="E88" s="607">
        <f t="shared" si="11"/>
        <v>2.1053197742091426E-2</v>
      </c>
      <c r="F88" s="607">
        <f>+F87/F62</f>
        <v>6.1358227744927239E-2</v>
      </c>
      <c r="G88" s="607">
        <f t="shared" si="11"/>
        <v>4.4802372315566621E-2</v>
      </c>
      <c r="H88" s="607">
        <f>+H87/H62</f>
        <v>0.2302875343102106</v>
      </c>
      <c r="I88" s="607">
        <f t="shared" si="11"/>
        <v>0.27869021666231664</v>
      </c>
      <c r="J88" s="607">
        <f>+J87/J62</f>
        <v>0.24854839256535805</v>
      </c>
      <c r="K88" s="607">
        <v>5.7317031557256551E-2</v>
      </c>
      <c r="L88" s="607">
        <v>4.1035267784202564E-2</v>
      </c>
      <c r="M88" s="607">
        <v>3.5572003269008376E-2</v>
      </c>
      <c r="N88" s="607">
        <v>-9.1488074172905762E-2</v>
      </c>
      <c r="O88" s="607">
        <v>3.0443936312496058E-2</v>
      </c>
      <c r="P88" s="607">
        <v>-1.4088588038582512</v>
      </c>
      <c r="Q88" s="607">
        <v>3.8623939009122026E-2</v>
      </c>
      <c r="R88" s="607">
        <f>+R87/R62</f>
        <v>7.8023043638229553E-2</v>
      </c>
    </row>
    <row r="89" spans="2:18" ht="12.75" customHeight="1">
      <c r="B89" s="203" t="s">
        <v>911</v>
      </c>
      <c r="C89" s="606"/>
      <c r="D89" s="606"/>
      <c r="E89" s="606"/>
      <c r="F89" s="606"/>
      <c r="G89" s="606"/>
      <c r="H89" s="606"/>
      <c r="I89" s="606"/>
      <c r="J89" s="606"/>
      <c r="K89" s="606"/>
      <c r="L89" s="606"/>
      <c r="M89" s="606"/>
      <c r="N89" s="606"/>
      <c r="O89" s="606"/>
      <c r="P89" s="606">
        <v>112719.03351900002</v>
      </c>
      <c r="Q89" s="606"/>
      <c r="R89" s="606"/>
    </row>
    <row r="90" spans="2:18" ht="12.75" customHeight="1">
      <c r="B90" s="204" t="s">
        <v>912</v>
      </c>
      <c r="C90" s="607"/>
      <c r="D90" s="607"/>
      <c r="E90" s="607"/>
      <c r="F90" s="607"/>
      <c r="G90" s="607"/>
      <c r="H90" s="607"/>
      <c r="I90" s="607"/>
      <c r="J90" s="607"/>
      <c r="K90" s="607"/>
      <c r="L90" s="607"/>
      <c r="M90" s="607"/>
      <c r="N90" s="607"/>
      <c r="O90" s="607"/>
      <c r="P90" s="607">
        <v>0.90856054992992286</v>
      </c>
      <c r="Q90" s="607"/>
      <c r="R90" s="607"/>
    </row>
    <row r="91" spans="2:18" ht="12.75" customHeight="1">
      <c r="B91" s="186"/>
      <c r="C91" s="186"/>
      <c r="D91" s="186"/>
      <c r="E91" s="186"/>
      <c r="F91" s="186"/>
      <c r="G91" s="186"/>
      <c r="H91" s="186"/>
      <c r="I91" s="186"/>
      <c r="J91" s="186"/>
      <c r="K91" s="186"/>
      <c r="L91" s="186"/>
      <c r="M91" s="186"/>
      <c r="N91" s="186"/>
      <c r="O91" s="186"/>
      <c r="P91" s="186"/>
      <c r="Q91" s="186"/>
      <c r="R91" s="186"/>
    </row>
    <row r="92" spans="2:18" ht="12.75" customHeight="1">
      <c r="B92" s="202" t="s">
        <v>410</v>
      </c>
      <c r="C92" s="191">
        <v>3736.6153329999979</v>
      </c>
      <c r="D92" s="191">
        <v>8396.9450160000015</v>
      </c>
      <c r="E92" s="191">
        <v>3318.0675900000001</v>
      </c>
      <c r="F92" s="191">
        <v>3732.6325099999981</v>
      </c>
      <c r="G92" s="191">
        <v>3536.0406380000004</v>
      </c>
      <c r="H92" s="191">
        <v>3386.3658989999985</v>
      </c>
      <c r="I92" s="191">
        <v>3226.15787</v>
      </c>
      <c r="J92" s="191">
        <v>3370.8072169999987</v>
      </c>
      <c r="K92" s="191">
        <v>3773.6914900000011</v>
      </c>
      <c r="L92" s="191">
        <v>3973.5383419999998</v>
      </c>
      <c r="M92" s="191">
        <v>4917.6410889999997</v>
      </c>
      <c r="N92" s="191">
        <v>8042.143790000001</v>
      </c>
      <c r="O92" s="191"/>
      <c r="P92" s="191">
        <v>3242.0582219999997</v>
      </c>
      <c r="Q92" s="191">
        <v>3189.5657759999995</v>
      </c>
      <c r="R92" s="191">
        <v>3167.8726560000005</v>
      </c>
    </row>
    <row r="93" spans="2:18" ht="12.75" customHeight="1">
      <c r="B93" s="186"/>
      <c r="C93" s="186"/>
      <c r="D93" s="186"/>
      <c r="E93" s="186"/>
      <c r="F93" s="186"/>
      <c r="G93" s="186"/>
      <c r="H93" s="186"/>
      <c r="I93" s="186"/>
      <c r="J93" s="186"/>
      <c r="K93" s="186"/>
      <c r="L93" s="186"/>
      <c r="M93" s="186"/>
      <c r="N93" s="186"/>
      <c r="O93" s="186"/>
      <c r="P93" s="186"/>
    </row>
    <row r="94" spans="2:18" ht="12.75" customHeight="1">
      <c r="B94" s="186"/>
      <c r="C94" s="186"/>
      <c r="D94" s="186"/>
      <c r="E94" s="186"/>
      <c r="F94" s="186"/>
      <c r="G94" s="186"/>
      <c r="H94" s="186"/>
      <c r="I94" s="186"/>
      <c r="J94" s="186"/>
      <c r="K94" s="186"/>
      <c r="L94" s="186"/>
      <c r="M94" s="186"/>
      <c r="N94" s="186"/>
      <c r="O94" s="186"/>
      <c r="P94" s="186"/>
    </row>
    <row r="95" spans="2:18" ht="12.75" customHeight="1">
      <c r="B95" s="186"/>
      <c r="C95" s="186"/>
      <c r="D95" s="186"/>
      <c r="E95" s="186"/>
      <c r="F95" s="186"/>
      <c r="G95" s="186"/>
      <c r="H95" s="186"/>
      <c r="I95" s="186"/>
      <c r="J95" s="186"/>
      <c r="K95" s="186"/>
      <c r="L95" s="186"/>
      <c r="M95" s="186"/>
      <c r="N95" s="186"/>
      <c r="O95" s="186"/>
      <c r="P95" s="186"/>
    </row>
    <row r="96" spans="2:18" ht="12.75" customHeight="1">
      <c r="B96" s="603" t="s">
        <v>579</v>
      </c>
      <c r="C96" s="604"/>
      <c r="D96" s="604"/>
      <c r="E96" s="604"/>
      <c r="F96" s="604"/>
      <c r="G96" s="604"/>
      <c r="H96" s="604"/>
      <c r="I96" s="604"/>
      <c r="J96" s="604"/>
      <c r="K96" s="604"/>
      <c r="L96" s="604"/>
      <c r="M96" s="604"/>
      <c r="N96" s="604"/>
      <c r="O96" s="604"/>
      <c r="P96" s="604"/>
    </row>
    <row r="97" spans="2:19" ht="12.75" customHeight="1">
      <c r="B97" s="603" t="s">
        <v>77</v>
      </c>
      <c r="C97" s="604"/>
      <c r="D97" s="604"/>
      <c r="E97" s="604"/>
      <c r="F97" s="604"/>
      <c r="G97" s="604"/>
      <c r="H97" s="604"/>
      <c r="I97" s="604"/>
      <c r="J97" s="604"/>
      <c r="K97" s="604"/>
      <c r="L97" s="604"/>
      <c r="M97" s="604"/>
      <c r="N97" s="604"/>
      <c r="O97" s="604"/>
      <c r="P97" s="604"/>
    </row>
    <row r="98" spans="2:19" ht="12.75" customHeight="1">
      <c r="B98" s="603" t="s">
        <v>78</v>
      </c>
      <c r="C98" s="186"/>
      <c r="D98" s="186"/>
      <c r="E98" s="186"/>
      <c r="F98" s="186"/>
      <c r="G98" s="186"/>
      <c r="H98" s="186"/>
      <c r="I98" s="186"/>
      <c r="J98" s="186"/>
      <c r="K98" s="186"/>
      <c r="L98" s="186"/>
      <c r="M98" s="186"/>
      <c r="N98" s="186"/>
      <c r="O98" s="186"/>
      <c r="P98" s="186"/>
    </row>
    <row r="99" spans="2:19" ht="12.75" customHeight="1">
      <c r="B99" s="187"/>
      <c r="C99" s="232"/>
      <c r="D99" s="232"/>
      <c r="E99" s="232"/>
      <c r="F99" s="232"/>
      <c r="G99" s="232"/>
      <c r="H99" s="232"/>
      <c r="I99" s="232"/>
      <c r="J99" s="232"/>
      <c r="K99" s="232"/>
      <c r="L99" s="232"/>
      <c r="M99" s="232"/>
      <c r="N99" s="232"/>
      <c r="O99" s="232"/>
      <c r="P99" s="232"/>
    </row>
    <row r="100" spans="2:19" ht="12.75" customHeight="1">
      <c r="B100" s="188"/>
      <c r="C100" s="189" t="str">
        <f>+$C$7</f>
        <v>4T 2017</v>
      </c>
      <c r="D100" s="189" t="str">
        <f>+$D$7</f>
        <v>4T 2018</v>
      </c>
      <c r="E100" s="189" t="str">
        <f t="shared" ref="E100:R100" si="12">+E$7</f>
        <v>1T2019</v>
      </c>
      <c r="F100" s="189" t="str">
        <f t="shared" si="12"/>
        <v>2T2019</v>
      </c>
      <c r="G100" s="189" t="str">
        <f t="shared" si="12"/>
        <v>3T2019</v>
      </c>
      <c r="H100" s="189" t="str">
        <f t="shared" si="12"/>
        <v>4T2019</v>
      </c>
      <c r="I100" s="189" t="str">
        <f t="shared" si="12"/>
        <v>1T20</v>
      </c>
      <c r="J100" s="189" t="str">
        <f t="shared" si="12"/>
        <v>2T20</v>
      </c>
      <c r="K100" s="189" t="str">
        <f t="shared" si="12"/>
        <v>3T20</v>
      </c>
      <c r="L100" s="189" t="str">
        <f t="shared" si="12"/>
        <v>4T20</v>
      </c>
      <c r="M100" s="189" t="str">
        <f t="shared" si="12"/>
        <v>1T21</v>
      </c>
      <c r="N100" s="189" t="str">
        <f t="shared" si="12"/>
        <v>2T21</v>
      </c>
      <c r="O100" s="189" t="str">
        <f t="shared" si="12"/>
        <v>3T21</v>
      </c>
      <c r="P100" s="189" t="str">
        <f t="shared" si="12"/>
        <v>4T21</v>
      </c>
      <c r="Q100" s="189" t="str">
        <f>+Q$2</f>
        <v>1T22</v>
      </c>
      <c r="R100" s="189" t="str">
        <f t="shared" si="12"/>
        <v>2T22</v>
      </c>
    </row>
    <row r="101" spans="2:19" ht="12.75" customHeight="1">
      <c r="B101" s="35"/>
      <c r="C101" s="35"/>
      <c r="D101" s="35"/>
      <c r="E101" s="35"/>
      <c r="F101" s="35"/>
      <c r="G101" s="35"/>
      <c r="H101" s="35"/>
      <c r="I101" s="35"/>
      <c r="J101" s="35"/>
      <c r="K101" s="35"/>
      <c r="L101" s="35"/>
      <c r="M101" s="35"/>
      <c r="N101" s="35"/>
      <c r="O101" s="35"/>
      <c r="P101" s="35"/>
      <c r="Q101" s="35"/>
      <c r="R101" s="35"/>
    </row>
    <row r="102" spans="2:19" ht="12.75" customHeight="1">
      <c r="B102" s="190" t="s">
        <v>81</v>
      </c>
      <c r="C102" s="191">
        <v>142038.68919599993</v>
      </c>
      <c r="D102" s="191">
        <v>130250.80742699996</v>
      </c>
      <c r="E102" s="191">
        <v>174308.608373</v>
      </c>
      <c r="F102" s="191">
        <v>162945.03358500014</v>
      </c>
      <c r="G102" s="191">
        <v>140145.58702999994</v>
      </c>
      <c r="H102" s="191">
        <v>210498.25565999991</v>
      </c>
      <c r="I102" s="191">
        <v>266907.28946999996</v>
      </c>
      <c r="J102" s="191">
        <v>287061.63840399997</v>
      </c>
      <c r="K102" s="191">
        <v>170295.216655</v>
      </c>
      <c r="L102" s="191">
        <v>181405.4944770002</v>
      </c>
      <c r="M102" s="191">
        <v>259668.61887900002</v>
      </c>
      <c r="N102" s="191">
        <v>216852.817262</v>
      </c>
      <c r="O102" s="191">
        <v>178537.70930500003</v>
      </c>
      <c r="P102" s="191">
        <v>346062.07807699998</v>
      </c>
      <c r="Q102" s="191">
        <v>400471.43628400005</v>
      </c>
      <c r="R102" s="191">
        <v>264867.12563100026</v>
      </c>
    </row>
    <row r="103" spans="2:19" ht="12.75" customHeight="1">
      <c r="B103" s="190" t="s">
        <v>82</v>
      </c>
      <c r="C103" s="191">
        <v>226767.33735100017</v>
      </c>
      <c r="D103" s="191">
        <v>266162.2924889999</v>
      </c>
      <c r="E103" s="191">
        <v>261250.73162499999</v>
      </c>
      <c r="F103" s="191">
        <v>337643.6007350001</v>
      </c>
      <c r="G103" s="191">
        <v>436489.99621899996</v>
      </c>
      <c r="H103" s="191">
        <v>421077.66419099981</v>
      </c>
      <c r="I103" s="191">
        <v>436863.92530299997</v>
      </c>
      <c r="J103" s="191">
        <v>430487.52858099999</v>
      </c>
      <c r="K103" s="191">
        <v>461314.67673199973</v>
      </c>
      <c r="L103" s="191">
        <v>513448.33246700047</v>
      </c>
      <c r="M103" s="191">
        <v>495461.10892799997</v>
      </c>
      <c r="N103" s="191">
        <v>499137.29946000001</v>
      </c>
      <c r="O103" s="191">
        <v>557152.09574699984</v>
      </c>
      <c r="P103" s="191">
        <v>583244.32311700028</v>
      </c>
      <c r="Q103" s="191">
        <v>591484.976409</v>
      </c>
      <c r="R103" s="191">
        <v>663784.94799999997</v>
      </c>
    </row>
    <row r="104" spans="2:19" ht="12.75" customHeight="1">
      <c r="B104" s="190" t="s">
        <v>83</v>
      </c>
      <c r="C104" s="191">
        <v>67031.521140999976</v>
      </c>
      <c r="D104" s="191">
        <v>76359.336449999973</v>
      </c>
      <c r="E104" s="191">
        <v>77367.062225000016</v>
      </c>
      <c r="F104" s="191">
        <v>99579.55456699997</v>
      </c>
      <c r="G104" s="191">
        <v>105362.62756699996</v>
      </c>
      <c r="H104" s="191">
        <v>156940.62028899998</v>
      </c>
      <c r="I104" s="191">
        <v>73724.975186000011</v>
      </c>
      <c r="J104" s="191">
        <v>64645.823732999954</v>
      </c>
      <c r="K104" s="191">
        <v>66425.817470000009</v>
      </c>
      <c r="L104" s="191">
        <v>66794.254831999948</v>
      </c>
      <c r="M104" s="191">
        <v>65926.011383999998</v>
      </c>
      <c r="N104" s="191">
        <v>73754.682338000057</v>
      </c>
      <c r="O104" s="191">
        <v>79672.271020999906</v>
      </c>
      <c r="P104" s="191">
        <v>89142.520005000028</v>
      </c>
      <c r="Q104" s="191">
        <v>85851.160779000027</v>
      </c>
      <c r="R104" s="191">
        <v>99810.275999999998</v>
      </c>
    </row>
    <row r="105" spans="2:19" ht="12.75" customHeight="1">
      <c r="B105" s="190" t="s">
        <v>84</v>
      </c>
      <c r="C105" s="190"/>
      <c r="D105" s="190">
        <v>0</v>
      </c>
      <c r="E105" s="190">
        <v>0</v>
      </c>
      <c r="F105" s="190">
        <v>0</v>
      </c>
      <c r="G105" s="190">
        <v>0</v>
      </c>
      <c r="H105" s="191">
        <v>462.68968299999995</v>
      </c>
      <c r="I105" s="191">
        <v>1213.0065090000001</v>
      </c>
      <c r="J105" s="191">
        <v>782.31392699999992</v>
      </c>
      <c r="K105" s="191">
        <v>0</v>
      </c>
      <c r="L105" s="191">
        <v>17.334912000000031</v>
      </c>
      <c r="M105" s="191">
        <v>0</v>
      </c>
      <c r="N105" s="191">
        <v>0</v>
      </c>
      <c r="O105" s="191">
        <v>0</v>
      </c>
      <c r="P105" s="191">
        <v>0</v>
      </c>
      <c r="Q105" s="191">
        <v>0</v>
      </c>
      <c r="R105" s="191">
        <v>0</v>
      </c>
    </row>
    <row r="106" spans="2:19" ht="12.75" customHeight="1">
      <c r="B106" s="190" t="s">
        <v>85</v>
      </c>
      <c r="C106" s="191">
        <v>9855.8631319999986</v>
      </c>
      <c r="D106" s="191">
        <v>15388.791041999993</v>
      </c>
      <c r="E106" s="191">
        <v>10988.337287000002</v>
      </c>
      <c r="F106" s="191">
        <v>18007.679665000003</v>
      </c>
      <c r="G106" s="191">
        <v>26017.466889000003</v>
      </c>
      <c r="H106" s="191">
        <v>25207.270953000028</v>
      </c>
      <c r="I106" s="191">
        <v>19474.642850000033</v>
      </c>
      <c r="J106" s="191">
        <v>24729.954264999993</v>
      </c>
      <c r="K106" s="191">
        <v>27262.933170999939</v>
      </c>
      <c r="L106" s="191">
        <v>39052.339109000022</v>
      </c>
      <c r="M106" s="191">
        <v>37335.080932999997</v>
      </c>
      <c r="N106" s="191">
        <v>32426.978090000026</v>
      </c>
      <c r="O106" s="191">
        <v>43650.54245999991</v>
      </c>
      <c r="P106" s="191">
        <v>55425.214550000004</v>
      </c>
      <c r="Q106" s="191">
        <v>52337.946119999986</v>
      </c>
      <c r="R106" s="191">
        <v>47757.453999999998</v>
      </c>
    </row>
    <row r="107" spans="2:19" ht="12.75" customHeight="1">
      <c r="B107" s="186" t="s">
        <v>86</v>
      </c>
      <c r="C107" s="192">
        <v>445693.41082000011</v>
      </c>
      <c r="D107" s="192">
        <v>488161.22740799986</v>
      </c>
      <c r="E107" s="192">
        <v>523914.73950999998</v>
      </c>
      <c r="F107" s="192">
        <v>618175.86855200026</v>
      </c>
      <c r="G107" s="192">
        <v>708015.67770499992</v>
      </c>
      <c r="H107" s="192">
        <v>814186.50077599974</v>
      </c>
      <c r="I107" s="192">
        <v>798183.83931800001</v>
      </c>
      <c r="J107" s="192">
        <v>807707.25890999998</v>
      </c>
      <c r="K107" s="192">
        <v>725298.64402799972</v>
      </c>
      <c r="L107" s="192">
        <v>800717.7557970006</v>
      </c>
      <c r="M107" s="192">
        <v>858390.82012399985</v>
      </c>
      <c r="N107" s="192">
        <f>SUM(N102:N106)</f>
        <v>822171.7771500001</v>
      </c>
      <c r="O107" s="192">
        <f>SUM(O102:O106)</f>
        <v>859012.61853299965</v>
      </c>
      <c r="P107" s="192">
        <f>SUM(P102:P106)</f>
        <v>1073874.1357490004</v>
      </c>
      <c r="Q107" s="192">
        <f>+SUM(Q102:Q106)</f>
        <v>1130145.5195920002</v>
      </c>
      <c r="R107" s="192">
        <f>+SUM(R102:R106)</f>
        <v>1076219.8036310002</v>
      </c>
      <c r="S107" s="192"/>
    </row>
    <row r="108" spans="2:19" ht="12.75" customHeight="1">
      <c r="B108" s="186"/>
      <c r="C108" s="186"/>
      <c r="D108" s="186"/>
      <c r="E108" s="186"/>
      <c r="F108" s="186"/>
      <c r="G108" s="186"/>
      <c r="H108" s="186"/>
      <c r="I108" s="186"/>
      <c r="J108" s="186"/>
      <c r="K108" s="186"/>
      <c r="L108" s="186"/>
      <c r="M108" s="186"/>
      <c r="N108" s="186"/>
      <c r="O108" s="186"/>
      <c r="P108" s="186"/>
      <c r="Q108" s="186"/>
      <c r="R108" s="186"/>
    </row>
    <row r="109" spans="2:19" ht="12.75" customHeight="1">
      <c r="B109" s="186" t="s">
        <v>87</v>
      </c>
      <c r="C109" s="193">
        <v>-278268.81690099754</v>
      </c>
      <c r="D109" s="193">
        <v>-298053.93791400047</v>
      </c>
      <c r="E109" s="193">
        <v>-333046.14595099987</v>
      </c>
      <c r="F109" s="193">
        <v>-389647.4630589998</v>
      </c>
      <c r="G109" s="193">
        <v>-466862.17199400056</v>
      </c>
      <c r="H109" s="193">
        <v>-484072.21902761259</v>
      </c>
      <c r="I109" s="193">
        <v>-544786.72788000014</v>
      </c>
      <c r="J109" s="193">
        <v>-556334.98258900014</v>
      </c>
      <c r="K109" s="193">
        <v>-513465.01999800024</v>
      </c>
      <c r="L109" s="193">
        <v>-540596.59786599968</v>
      </c>
      <c r="M109" s="193">
        <v>-583307.96503499977</v>
      </c>
      <c r="N109" s="193">
        <v>-569694.80977700104</v>
      </c>
      <c r="O109" s="193">
        <v>-623833.87734199967</v>
      </c>
      <c r="P109" s="193">
        <v>-727273.03889600001</v>
      </c>
      <c r="Q109" s="193">
        <v>-734946.69795199961</v>
      </c>
      <c r="R109" s="193">
        <v>-700555.29884499975</v>
      </c>
    </row>
    <row r="110" spans="2:19" ht="12.75" customHeight="1">
      <c r="B110" s="194" t="s">
        <v>88</v>
      </c>
      <c r="C110" s="605">
        <v>167424.59391900257</v>
      </c>
      <c r="D110" s="605">
        <v>190107.28949399939</v>
      </c>
      <c r="E110" s="605">
        <v>190868.59355900015</v>
      </c>
      <c r="F110" s="605">
        <v>228528.40549300046</v>
      </c>
      <c r="G110" s="605">
        <v>241153.50571099934</v>
      </c>
      <c r="H110" s="605">
        <v>330114.28174838715</v>
      </c>
      <c r="I110" s="605">
        <v>253397.11143799982</v>
      </c>
      <c r="J110" s="605">
        <v>251372.27632099984</v>
      </c>
      <c r="K110" s="605">
        <v>211833.62402999948</v>
      </c>
      <c r="L110" s="605">
        <v>260121.15793100093</v>
      </c>
      <c r="M110" s="605">
        <v>275082.85508900019</v>
      </c>
      <c r="N110" s="605">
        <f>+N107+N109</f>
        <v>252476.96737299906</v>
      </c>
      <c r="O110" s="605">
        <f>+O107+O109</f>
        <v>235178.74119099998</v>
      </c>
      <c r="P110" s="605">
        <f>+P107+P109</f>
        <v>346601.09685300034</v>
      </c>
      <c r="Q110" s="605">
        <f>+Q107+Q109</f>
        <v>395198.82164000056</v>
      </c>
      <c r="R110" s="605">
        <f>+R107+R109</f>
        <v>375664.50478600047</v>
      </c>
    </row>
    <row r="111" spans="2:19" ht="12.75" customHeight="1">
      <c r="B111" s="195" t="s">
        <v>89</v>
      </c>
      <c r="C111" s="200">
        <f t="shared" ref="C111:I111" si="13">+C110/C107</f>
        <v>0.37564969518164915</v>
      </c>
      <c r="D111" s="200">
        <f t="shared" si="13"/>
        <v>0.38943545455958506</v>
      </c>
      <c r="E111" s="200">
        <f t="shared" si="13"/>
        <v>0.36431231871337155</v>
      </c>
      <c r="F111" s="200">
        <f t="shared" si="13"/>
        <v>0.36968186096992056</v>
      </c>
      <c r="G111" s="200">
        <f t="shared" si="13"/>
        <v>0.34060475396913142</v>
      </c>
      <c r="H111" s="200">
        <f t="shared" si="13"/>
        <v>0.40545290475063855</v>
      </c>
      <c r="I111" s="200">
        <f t="shared" si="13"/>
        <v>0.31746710338624795</v>
      </c>
      <c r="J111" s="200">
        <f>+J110/J107</f>
        <v>0.3112170573534605</v>
      </c>
      <c r="K111" s="200">
        <f>+K110/K107</f>
        <v>0.29206400118655368</v>
      </c>
      <c r="L111" s="200">
        <f>+L110/L107</f>
        <v>0.32485998474217337</v>
      </c>
      <c r="M111" s="200">
        <f t="shared" ref="M111:P111" si="14">+M110/M107</f>
        <v>0.3204634167094923</v>
      </c>
      <c r="N111" s="200">
        <f>+N110/N107</f>
        <v>0.307085422280235</v>
      </c>
      <c r="O111" s="200">
        <f t="shared" si="14"/>
        <v>0.27377798197264247</v>
      </c>
      <c r="P111" s="200">
        <f t="shared" si="14"/>
        <v>0.32275765409998886</v>
      </c>
      <c r="Q111" s="200">
        <f>+Q110/Q107</f>
        <v>0.34968843816031175</v>
      </c>
      <c r="R111" s="200">
        <f>+R110/R107</f>
        <v>0.34905927536230624</v>
      </c>
    </row>
    <row r="112" spans="2:19" ht="12.75" customHeight="1">
      <c r="B112" s="195"/>
      <c r="C112" s="195"/>
      <c r="D112" s="195"/>
      <c r="E112" s="195"/>
      <c r="F112" s="195"/>
      <c r="G112" s="195"/>
      <c r="H112" s="195"/>
      <c r="I112" s="195"/>
      <c r="J112" s="195"/>
      <c r="K112" s="195"/>
      <c r="L112" s="195"/>
      <c r="M112" s="195"/>
      <c r="N112" s="195"/>
      <c r="O112" s="195"/>
      <c r="P112" s="195"/>
      <c r="Q112" s="195"/>
      <c r="R112" s="195"/>
    </row>
    <row r="113" spans="2:18" ht="12.75" customHeight="1">
      <c r="B113" s="190" t="s">
        <v>90</v>
      </c>
      <c r="C113" s="191">
        <v>1067.1177280000011</v>
      </c>
      <c r="D113" s="191">
        <v>1532.6030100000007</v>
      </c>
      <c r="E113" s="191">
        <v>1142.1265960000001</v>
      </c>
      <c r="F113" s="191">
        <v>999.92410599999994</v>
      </c>
      <c r="G113" s="191">
        <v>1983.0385019999999</v>
      </c>
      <c r="H113" s="191">
        <v>340337.839951</v>
      </c>
      <c r="I113" s="191">
        <v>3563.8943289999997</v>
      </c>
      <c r="J113" s="191">
        <v>1725.5192050000005</v>
      </c>
      <c r="K113" s="191">
        <v>10708.276733000001</v>
      </c>
      <c r="L113" s="191">
        <v>19450.029172000002</v>
      </c>
      <c r="M113" s="191">
        <v>2410.9169430000002</v>
      </c>
      <c r="N113" s="191">
        <v>1555.4939869999998</v>
      </c>
      <c r="O113" s="191">
        <v>1540.2571769999995</v>
      </c>
      <c r="P113" s="191">
        <v>70942.344893999994</v>
      </c>
      <c r="Q113" s="191">
        <v>3526.9799609999995</v>
      </c>
      <c r="R113" s="191">
        <v>13526.081811000002</v>
      </c>
    </row>
    <row r="114" spans="2:18" ht="12.75" customHeight="1">
      <c r="B114" s="196" t="s">
        <v>91</v>
      </c>
      <c r="C114" s="191">
        <v>-29670.259789999938</v>
      </c>
      <c r="D114" s="191">
        <v>-30756.05990399998</v>
      </c>
      <c r="E114" s="191">
        <v>-35998.447551999983</v>
      </c>
      <c r="F114" s="191">
        <v>-47463.322924999986</v>
      </c>
      <c r="G114" s="191">
        <v>-56647.158568000057</v>
      </c>
      <c r="H114" s="191">
        <v>-60702.718907003378</v>
      </c>
      <c r="I114" s="191">
        <v>-50615.859653000007</v>
      </c>
      <c r="J114" s="191">
        <v>-55975.750893999983</v>
      </c>
      <c r="K114" s="191">
        <v>-78839.646049999981</v>
      </c>
      <c r="L114" s="191">
        <v>-45818.327031000052</v>
      </c>
      <c r="M114" s="191">
        <v>-59307.728813999987</v>
      </c>
      <c r="N114" s="191">
        <v>-52102.592007999992</v>
      </c>
      <c r="O114" s="191">
        <v>-58587.135101000022</v>
      </c>
      <c r="P114" s="191">
        <v>-69079.740415999986</v>
      </c>
      <c r="Q114" s="191">
        <v>-60666.008945000001</v>
      </c>
      <c r="R114" s="191">
        <v>-66863.967384000047</v>
      </c>
    </row>
    <row r="115" spans="2:18" ht="12.75" customHeight="1">
      <c r="B115" s="190" t="s">
        <v>92</v>
      </c>
      <c r="C115" s="191">
        <v>512.56080799999927</v>
      </c>
      <c r="D115" s="191">
        <v>-1938.9120609999991</v>
      </c>
      <c r="E115" s="191">
        <v>-4597.749409</v>
      </c>
      <c r="F115" s="191">
        <v>-3449.4829810000001</v>
      </c>
      <c r="G115" s="191">
        <v>808.40356100000008</v>
      </c>
      <c r="H115" s="191">
        <v>-1749.7636189999994</v>
      </c>
      <c r="I115" s="191">
        <v>-11496.343186999997</v>
      </c>
      <c r="J115" s="191">
        <v>-319.94577100000606</v>
      </c>
      <c r="K115" s="191">
        <v>-3994.9631609999979</v>
      </c>
      <c r="L115" s="191">
        <v>-1564.5547119999974</v>
      </c>
      <c r="M115" s="191">
        <v>-10571.487234000002</v>
      </c>
      <c r="N115" s="191">
        <v>-656.89913299999716</v>
      </c>
      <c r="O115" s="191">
        <v>-1576.6330510000007</v>
      </c>
      <c r="P115" s="191">
        <v>-2700.1327099999999</v>
      </c>
      <c r="Q115" s="191">
        <v>-8308.493011999999</v>
      </c>
      <c r="R115" s="191">
        <v>-3283.3125265000035</v>
      </c>
    </row>
    <row r="116" spans="2:18" ht="12.75" customHeight="1">
      <c r="B116" s="190" t="s">
        <v>393</v>
      </c>
      <c r="C116" s="191">
        <v>1.0111849999999549</v>
      </c>
      <c r="D116" s="191">
        <v>-64.434766999999852</v>
      </c>
      <c r="E116" s="191">
        <v>-341.39354000000003</v>
      </c>
      <c r="F116" s="191">
        <v>-427.52828399999987</v>
      </c>
      <c r="G116" s="191">
        <v>-563.52524400000004</v>
      </c>
      <c r="H116" s="191">
        <v>-17851.336611000002</v>
      </c>
      <c r="I116" s="191">
        <v>-2874.5635810000003</v>
      </c>
      <c r="J116" s="191">
        <v>-306.51819699999942</v>
      </c>
      <c r="K116" s="191">
        <v>-1839.4049410000007</v>
      </c>
      <c r="L116" s="191">
        <v>384.99755800000003</v>
      </c>
      <c r="M116" s="191">
        <v>-423.35541199999966</v>
      </c>
      <c r="N116" s="191">
        <v>-151.25915799999984</v>
      </c>
      <c r="O116" s="191">
        <v>2122.7025949999997</v>
      </c>
      <c r="P116" s="191">
        <v>-2723.3148249999999</v>
      </c>
      <c r="Q116" s="191">
        <v>12220.572459000001</v>
      </c>
      <c r="R116" s="191">
        <v>-9848.3900539999995</v>
      </c>
    </row>
    <row r="117" spans="2:18" ht="12.75" customHeight="1">
      <c r="B117" s="194" t="s">
        <v>93</v>
      </c>
      <c r="C117" s="605">
        <v>139335.02385000262</v>
      </c>
      <c r="D117" s="605">
        <v>158880.4857719994</v>
      </c>
      <c r="E117" s="605">
        <v>151073.12965400016</v>
      </c>
      <c r="F117" s="605">
        <v>178187.99540900049</v>
      </c>
      <c r="G117" s="605">
        <v>186734.26396199927</v>
      </c>
      <c r="H117" s="605">
        <v>590148.30256238382</v>
      </c>
      <c r="I117" s="605">
        <v>191974.23934599978</v>
      </c>
      <c r="J117" s="605">
        <v>196495.58066399986</v>
      </c>
      <c r="K117" s="605">
        <v>137867.88661099953</v>
      </c>
      <c r="L117" s="605">
        <v>232573.30291800087</v>
      </c>
      <c r="M117" s="605">
        <v>207191.20057200021</v>
      </c>
      <c r="N117" s="605">
        <f>+N110+N113+N114+N115+N116</f>
        <v>201121.71106099908</v>
      </c>
      <c r="O117" s="605">
        <f>+O110+O113+O114+O115+O116</f>
        <v>178677.93281099995</v>
      </c>
      <c r="P117" s="605">
        <f>+P110+P113+P114+P115+P116</f>
        <v>343040.25379600032</v>
      </c>
      <c r="Q117" s="605">
        <f>+Q110+SUM(Q113:Q116)</f>
        <v>341971.87210300058</v>
      </c>
      <c r="R117" s="605">
        <f>+R110+SUM(R113:R116)</f>
        <v>309194.91663250042</v>
      </c>
    </row>
    <row r="118" spans="2:18" ht="12.75" customHeight="1">
      <c r="B118" s="197"/>
      <c r="C118" s="198"/>
      <c r="D118" s="198"/>
      <c r="E118" s="198"/>
      <c r="F118" s="198"/>
      <c r="G118" s="198"/>
      <c r="H118" s="198"/>
      <c r="I118" s="198"/>
      <c r="J118" s="198"/>
      <c r="K118" s="198"/>
      <c r="L118" s="198"/>
      <c r="M118" s="198"/>
      <c r="N118" s="198"/>
      <c r="O118" s="198"/>
      <c r="P118" s="198"/>
      <c r="Q118" s="198"/>
      <c r="R118" s="198"/>
    </row>
    <row r="119" spans="2:18" ht="12.75" customHeight="1">
      <c r="B119" s="196" t="s">
        <v>94</v>
      </c>
      <c r="C119" s="191">
        <v>1344.5155169999989</v>
      </c>
      <c r="D119" s="191">
        <v>1759.0292180000006</v>
      </c>
      <c r="E119" s="191">
        <v>1796.2531814700003</v>
      </c>
      <c r="F119" s="191">
        <v>5847.557557529999</v>
      </c>
      <c r="G119" s="191">
        <v>2294.7235369999989</v>
      </c>
      <c r="H119" s="191">
        <v>2866.5327310000011</v>
      </c>
      <c r="I119" s="191">
        <v>5429.1678899999997</v>
      </c>
      <c r="J119" s="191">
        <v>8699.1277799999989</v>
      </c>
      <c r="K119" s="191">
        <v>9007.2652720000006</v>
      </c>
      <c r="L119" s="191">
        <v>7097.8294310000019</v>
      </c>
      <c r="M119" s="191">
        <v>7757.2197030000007</v>
      </c>
      <c r="N119" s="191">
        <v>6679.0067269999981</v>
      </c>
      <c r="O119" s="191">
        <v>6680.8067290000035</v>
      </c>
      <c r="P119" s="191">
        <v>4312.2983659999991</v>
      </c>
      <c r="Q119" s="191">
        <v>4653.1572179999994</v>
      </c>
      <c r="R119" s="191">
        <v>3780.7997329999989</v>
      </c>
    </row>
    <row r="120" spans="2:18" ht="12.75" customHeight="1">
      <c r="B120" s="196" t="s">
        <v>95</v>
      </c>
      <c r="C120" s="191">
        <v>-26202.202880999961</v>
      </c>
      <c r="D120" s="191">
        <v>-20142.459247000021</v>
      </c>
      <c r="E120" s="191">
        <v>-46371.388013830001</v>
      </c>
      <c r="F120" s="191">
        <v>-74992.279076170002</v>
      </c>
      <c r="G120" s="191">
        <v>-71392.131428999943</v>
      </c>
      <c r="H120" s="191">
        <v>-85719.523924000037</v>
      </c>
      <c r="I120" s="191">
        <v>-70524.226700000014</v>
      </c>
      <c r="J120" s="191">
        <v>-58835.410256999981</v>
      </c>
      <c r="K120" s="191">
        <v>-52917.282648000022</v>
      </c>
      <c r="L120" s="191">
        <v>-80511.882147999946</v>
      </c>
      <c r="M120" s="191">
        <v>-50238.756697999997</v>
      </c>
      <c r="N120" s="191">
        <v>-54264.90127599996</v>
      </c>
      <c r="O120" s="191">
        <v>-59050.991070000062</v>
      </c>
      <c r="P120" s="191">
        <v>-69474.05897100002</v>
      </c>
      <c r="Q120" s="191">
        <v>-76038.823686999982</v>
      </c>
      <c r="R120" s="191">
        <v>-91891.326550000013</v>
      </c>
    </row>
    <row r="121" spans="2:18" ht="12.75" customHeight="1">
      <c r="B121" s="196" t="s">
        <v>242</v>
      </c>
      <c r="C121" s="191">
        <v>-172.5271029999999</v>
      </c>
      <c r="D121" s="191">
        <v>-2824.6352920000008</v>
      </c>
      <c r="E121" s="191">
        <v>2712.1697299999996</v>
      </c>
      <c r="F121" s="191">
        <v>31627.367769000004</v>
      </c>
      <c r="G121" s="191">
        <v>-51942.037418000007</v>
      </c>
      <c r="H121" s="191">
        <v>2422.055204000002</v>
      </c>
      <c r="I121" s="191">
        <v>-2195.8938879999996</v>
      </c>
      <c r="J121" s="191">
        <v>147.55259899999419</v>
      </c>
      <c r="K121" s="191">
        <v>-6611.7070349999931</v>
      </c>
      <c r="L121" s="191">
        <v>11788.852620000001</v>
      </c>
      <c r="M121" s="191">
        <v>-2489.6214500000033</v>
      </c>
      <c r="N121" s="191">
        <v>-395.1996789999921</v>
      </c>
      <c r="O121" s="191">
        <v>1360.809665999994</v>
      </c>
      <c r="P121" s="191">
        <v>-717.03631900000005</v>
      </c>
      <c r="Q121" s="191">
        <v>3607.486281</v>
      </c>
      <c r="R121" s="191">
        <v>-13598.652174999999</v>
      </c>
    </row>
    <row r="122" spans="2:18" ht="12.75" customHeight="1">
      <c r="B122" s="194" t="s">
        <v>96</v>
      </c>
      <c r="C122" s="605">
        <v>114304.80938300265</v>
      </c>
      <c r="D122" s="605">
        <v>137672.4204509994</v>
      </c>
      <c r="E122" s="605">
        <v>109210.16455164015</v>
      </c>
      <c r="F122" s="605">
        <v>140670.6416593605</v>
      </c>
      <c r="G122" s="605">
        <v>65694.818651999318</v>
      </c>
      <c r="H122" s="605">
        <v>509717.36657338374</v>
      </c>
      <c r="I122" s="605">
        <v>124683.28664799979</v>
      </c>
      <c r="J122" s="605">
        <v>146506.85078599988</v>
      </c>
      <c r="K122" s="605">
        <v>87346.162199999497</v>
      </c>
      <c r="L122" s="605">
        <v>170948.10282100091</v>
      </c>
      <c r="M122" s="605">
        <v>162220.0421270002</v>
      </c>
      <c r="N122" s="605">
        <f>+N117+N119+N120+N121</f>
        <v>153140.61683299913</v>
      </c>
      <c r="O122" s="605">
        <f>+O117+O119+O120+O121</f>
        <v>127668.55813599989</v>
      </c>
      <c r="P122" s="605">
        <f>+P117+P119+P120+P121</f>
        <v>277161.4568720003</v>
      </c>
      <c r="Q122" s="605">
        <f>+Q117+SUM(Q119:Q121)</f>
        <v>274193.69191500061</v>
      </c>
      <c r="R122" s="605">
        <f>+R117+SUM(R119:R121)</f>
        <v>207485.73764050042</v>
      </c>
    </row>
    <row r="123" spans="2:18" ht="12.75" customHeight="1">
      <c r="B123" s="43" t="s">
        <v>243</v>
      </c>
      <c r="C123" s="191">
        <v>-2162.5943240000006</v>
      </c>
      <c r="D123" s="191">
        <v>35239.023670000002</v>
      </c>
      <c r="E123" s="191">
        <v>5653.6886170000007</v>
      </c>
      <c r="F123" s="191">
        <v>-5929.9077540000008</v>
      </c>
      <c r="G123" s="191">
        <v>13263.147575999999</v>
      </c>
      <c r="H123" s="191">
        <v>438.65369199999986</v>
      </c>
      <c r="I123" s="191">
        <v>-3827.1802469999998</v>
      </c>
      <c r="J123" s="191">
        <v>2830.5082419999999</v>
      </c>
      <c r="K123" s="191">
        <v>-5395.3482299999996</v>
      </c>
      <c r="L123" s="191">
        <v>-15900.562742000002</v>
      </c>
      <c r="M123" s="191">
        <v>3866.7226700000001</v>
      </c>
      <c r="N123" s="191">
        <v>-11259.502093000001</v>
      </c>
      <c r="O123" s="191">
        <v>-1699.1221489999989</v>
      </c>
      <c r="P123" s="191">
        <v>-48501.656019000002</v>
      </c>
      <c r="Q123" s="191">
        <v>-188.40154899999999</v>
      </c>
      <c r="R123" s="191">
        <v>11572.58957</v>
      </c>
    </row>
    <row r="124" spans="2:18" ht="12.75" customHeight="1">
      <c r="B124" s="196" t="s">
        <v>394</v>
      </c>
      <c r="C124" s="191">
        <v>-48112.613894000024</v>
      </c>
      <c r="D124" s="191">
        <v>-46963.95438900002</v>
      </c>
      <c r="E124" s="191">
        <v>-41900.339381999998</v>
      </c>
      <c r="F124" s="191">
        <v>-39599.198798999998</v>
      </c>
      <c r="G124" s="191">
        <v>-28086.689663000012</v>
      </c>
      <c r="H124" s="191">
        <v>-139637.34905199998</v>
      </c>
      <c r="I124" s="191">
        <v>-42958.195195</v>
      </c>
      <c r="J124" s="191">
        <v>-46447.616554999993</v>
      </c>
      <c r="K124" s="191">
        <v>-22766.89609200001</v>
      </c>
      <c r="L124" s="191">
        <v>-40505.990049000015</v>
      </c>
      <c r="M124" s="191">
        <v>-53193.244884999993</v>
      </c>
      <c r="N124" s="191">
        <v>-38278.598475000006</v>
      </c>
      <c r="O124" s="191">
        <v>-36135.458180000001</v>
      </c>
      <c r="P124" s="191">
        <v>-17851.991288999998</v>
      </c>
      <c r="Q124" s="191">
        <v>-94797.246033000003</v>
      </c>
      <c r="R124" s="191">
        <v>-86633.742492000019</v>
      </c>
    </row>
    <row r="125" spans="2:18" ht="12.75" customHeight="1">
      <c r="B125" s="199" t="s">
        <v>97</v>
      </c>
      <c r="C125" s="605">
        <v>64029.601165002619</v>
      </c>
      <c r="D125" s="605">
        <v>125947.48973199938</v>
      </c>
      <c r="E125" s="605">
        <v>72963.513786640149</v>
      </c>
      <c r="F125" s="605">
        <v>95141.53510636049</v>
      </c>
      <c r="G125" s="605">
        <v>50871.276564999309</v>
      </c>
      <c r="H125" s="605">
        <v>370518.67121338379</v>
      </c>
      <c r="I125" s="605">
        <v>77897.911205999786</v>
      </c>
      <c r="J125" s="605">
        <v>102889.74247299989</v>
      </c>
      <c r="K125" s="605">
        <v>59183.917877999484</v>
      </c>
      <c r="L125" s="605">
        <v>114541.55003000089</v>
      </c>
      <c r="M125" s="605">
        <v>112893.51991200022</v>
      </c>
      <c r="N125" s="605">
        <f>+N122+N123+N124</f>
        <v>103602.51626499914</v>
      </c>
      <c r="O125" s="605">
        <f>+O122+O123+O124</f>
        <v>89833.977806999887</v>
      </c>
      <c r="P125" s="605">
        <f>+P122+P123+P124</f>
        <v>210807.80956400032</v>
      </c>
      <c r="Q125" s="605">
        <f>+Q122+SUM(Q123:Q124)</f>
        <v>179208.04433300061</v>
      </c>
      <c r="R125" s="605">
        <f>+R122+SUM(R123:R124)</f>
        <v>132424.58471850038</v>
      </c>
    </row>
    <row r="126" spans="2:18" ht="12.75" customHeight="1">
      <c r="B126" s="195" t="s">
        <v>395</v>
      </c>
      <c r="C126" s="200">
        <f t="shared" ref="C126:I126" si="15">+C125/C107</f>
        <v>0.14366288486787149</v>
      </c>
      <c r="D126" s="200">
        <f t="shared" si="15"/>
        <v>0.25800387794160851</v>
      </c>
      <c r="E126" s="200">
        <f t="shared" si="15"/>
        <v>0.1392660070126687</v>
      </c>
      <c r="F126" s="200">
        <f t="shared" si="15"/>
        <v>0.15390690569856383</v>
      </c>
      <c r="G126" s="200">
        <f t="shared" si="15"/>
        <v>7.1850494511500371E-2</v>
      </c>
      <c r="H126" s="200">
        <f t="shared" si="15"/>
        <v>0.45507837683410751</v>
      </c>
      <c r="I126" s="200">
        <f t="shared" si="15"/>
        <v>9.7593946868880302E-2</v>
      </c>
      <c r="J126" s="200">
        <f>+J125/J107</f>
        <v>0.12738494217799834</v>
      </c>
      <c r="K126" s="200">
        <f>+K125/K107</f>
        <v>8.1599377532704617E-2</v>
      </c>
      <c r="L126" s="200">
        <f>+L125/L107</f>
        <v>0.14304859508952822</v>
      </c>
      <c r="M126" s="200">
        <v>0.13173958485329831</v>
      </c>
      <c r="N126" s="200">
        <f>+N125/N107</f>
        <v>0.12601079135084139</v>
      </c>
      <c r="O126" s="200">
        <f>+O125/O107</f>
        <v>0.10457818182044416</v>
      </c>
      <c r="P126" s="200">
        <f>+P125/P107</f>
        <v>0.19630588217581676</v>
      </c>
      <c r="Q126" s="200">
        <f>+Q125/Q107</f>
        <v>0.15857076918527929</v>
      </c>
      <c r="R126" s="200">
        <f>+R125/R107</f>
        <v>0.12304603973251578</v>
      </c>
    </row>
    <row r="127" spans="2:18" ht="12.75" customHeight="1">
      <c r="B127" s="92"/>
      <c r="C127" s="173"/>
      <c r="D127" s="173"/>
      <c r="E127" s="173"/>
      <c r="F127" s="173"/>
      <c r="G127" s="173"/>
      <c r="H127" s="173"/>
      <c r="I127" s="173"/>
      <c r="J127" s="173"/>
      <c r="K127" s="173"/>
      <c r="L127" s="173"/>
      <c r="M127" s="173"/>
      <c r="N127" s="173"/>
      <c r="O127" s="173"/>
      <c r="P127" s="173"/>
      <c r="Q127" s="173"/>
      <c r="R127" s="173"/>
    </row>
    <row r="128" spans="2:18" ht="12.75" customHeight="1">
      <c r="B128" s="104" t="s">
        <v>98</v>
      </c>
      <c r="C128" s="201"/>
      <c r="D128" s="201"/>
      <c r="E128" s="201"/>
      <c r="F128" s="201"/>
      <c r="G128" s="201"/>
      <c r="H128" s="201"/>
      <c r="I128" s="201"/>
      <c r="J128" s="201"/>
      <c r="K128" s="201"/>
      <c r="L128" s="201"/>
      <c r="M128" s="201"/>
      <c r="N128" s="201"/>
      <c r="O128" s="201"/>
      <c r="P128" s="201"/>
      <c r="Q128" s="201"/>
      <c r="R128" s="201"/>
    </row>
    <row r="129" spans="2:18" ht="12.75" customHeight="1">
      <c r="B129" s="202" t="s">
        <v>99</v>
      </c>
      <c r="C129" s="191">
        <v>65029.460875910881</v>
      </c>
      <c r="D129" s="191">
        <v>125921.44130699945</v>
      </c>
      <c r="E129" s="191">
        <v>72813.389850000211</v>
      </c>
      <c r="F129" s="191">
        <v>95052.246466000361</v>
      </c>
      <c r="G129" s="191">
        <v>50731.806763999484</v>
      </c>
      <c r="H129" s="191">
        <v>370222.42950200086</v>
      </c>
      <c r="I129" s="191">
        <v>77722.889462999839</v>
      </c>
      <c r="J129" s="191">
        <v>102712.89848699949</v>
      </c>
      <c r="K129" s="191">
        <v>58758.717969999969</v>
      </c>
      <c r="L129" s="191">
        <v>114861.78226900104</v>
      </c>
      <c r="M129" s="191">
        <v>112930.76458400028</v>
      </c>
      <c r="N129" s="191">
        <v>103581.41057699884</v>
      </c>
      <c r="O129" s="191">
        <v>89995.838823000027</v>
      </c>
      <c r="P129" s="191">
        <v>211077.737609</v>
      </c>
      <c r="Q129" s="191">
        <v>179044.04433300055</v>
      </c>
      <c r="R129" s="191">
        <v>132194.20533150039</v>
      </c>
    </row>
    <row r="130" spans="2:18" ht="12.75" customHeight="1">
      <c r="B130" s="202" t="s">
        <v>100</v>
      </c>
      <c r="C130" s="191">
        <v>-999.85971090817281</v>
      </c>
      <c r="D130" s="191">
        <v>25.750908273961613</v>
      </c>
      <c r="E130" s="191">
        <v>150.12393663989496</v>
      </c>
      <c r="F130" s="191">
        <v>89.288640360027784</v>
      </c>
      <c r="G130" s="191">
        <v>139.46980099997018</v>
      </c>
      <c r="H130" s="191">
        <v>296.24171138292877</v>
      </c>
      <c r="I130" s="191">
        <v>175.02174300004845</v>
      </c>
      <c r="J130" s="191">
        <v>176.84398600002169</v>
      </c>
      <c r="K130" s="191">
        <v>425.19990799992229</v>
      </c>
      <c r="L130" s="191">
        <v>-320.23223900023731</v>
      </c>
      <c r="M130" s="191">
        <v>-37.244672000073479</v>
      </c>
      <c r="N130" s="191">
        <v>21.105688000519876</v>
      </c>
      <c r="O130" s="191">
        <v>-162.8610160004464</v>
      </c>
      <c r="P130" s="191">
        <v>-270.07472899999999</v>
      </c>
      <c r="Q130" s="191">
        <v>164</v>
      </c>
      <c r="R130" s="191">
        <f>+R125-R129</f>
        <v>230.37938699999359</v>
      </c>
    </row>
    <row r="131" spans="2:18" ht="12.75" customHeight="1">
      <c r="B131" s="199" t="s">
        <v>101</v>
      </c>
      <c r="C131" s="605">
        <v>64029.601165002707</v>
      </c>
      <c r="D131" s="605">
        <v>125947.1922152734</v>
      </c>
      <c r="E131" s="605">
        <v>72963.513786640106</v>
      </c>
      <c r="F131" s="605">
        <v>95141.535106360388</v>
      </c>
      <c r="G131" s="605">
        <v>50871.276564999454</v>
      </c>
      <c r="H131" s="605">
        <v>370518.67121338379</v>
      </c>
      <c r="I131" s="605">
        <v>77897.911205999888</v>
      </c>
      <c r="J131" s="605">
        <v>102889.74247299951</v>
      </c>
      <c r="K131" s="605">
        <v>59183.917877999891</v>
      </c>
      <c r="L131" s="605">
        <v>114541.5500300008</v>
      </c>
      <c r="M131" s="605">
        <v>112893.51991200021</v>
      </c>
      <c r="N131" s="605">
        <f>+N129+N130</f>
        <v>103602.51626499936</v>
      </c>
      <c r="O131" s="605">
        <f>+O129+O130</f>
        <v>89832.977806999581</v>
      </c>
      <c r="P131" s="605">
        <f>+P129+P130</f>
        <v>210807.66287999999</v>
      </c>
      <c r="Q131" s="605">
        <f>+Q129+Q130</f>
        <v>179208.04433300055</v>
      </c>
      <c r="R131" s="605">
        <f>+R129+R130</f>
        <v>132424.58471850038</v>
      </c>
    </row>
    <row r="132" spans="2:18" ht="12.75" customHeight="1">
      <c r="B132" s="92"/>
      <c r="C132" s="92"/>
      <c r="D132" s="92"/>
      <c r="E132" s="92"/>
      <c r="F132" s="92"/>
      <c r="G132" s="92"/>
      <c r="H132" s="92"/>
      <c r="I132" s="92"/>
      <c r="J132" s="92"/>
      <c r="K132" s="92"/>
      <c r="L132" s="92"/>
      <c r="M132" s="92"/>
      <c r="N132" s="92"/>
      <c r="O132" s="92"/>
      <c r="P132" s="92"/>
      <c r="Q132" s="92"/>
      <c r="R132" s="92"/>
    </row>
    <row r="133" spans="2:18" ht="12.75" customHeight="1">
      <c r="B133" s="203" t="s">
        <v>24</v>
      </c>
      <c r="C133" s="606">
        <v>167045.64292300266</v>
      </c>
      <c r="D133" s="606">
        <v>190703.95790399946</v>
      </c>
      <c r="E133" s="606">
        <v>203259.08151900017</v>
      </c>
      <c r="F133" s="606">
        <v>241840.15935100045</v>
      </c>
      <c r="G133" s="606">
        <v>257850.9948379992</v>
      </c>
      <c r="H133" s="606">
        <v>336663.36091238388</v>
      </c>
      <c r="I133" s="606">
        <v>266115.2368869998</v>
      </c>
      <c r="J133" s="606">
        <v>259926.50664699986</v>
      </c>
      <c r="K133" s="606">
        <v>201575.34701599946</v>
      </c>
      <c r="L133" s="606">
        <v>283850.71067300101</v>
      </c>
      <c r="M133" s="606">
        <v>285747.79650500021</v>
      </c>
      <c r="N133" s="606">
        <v>273051.30002699903</v>
      </c>
      <c r="O133" s="606">
        <v>244315.31702799996</v>
      </c>
      <c r="P133" s="606">
        <v>355940.36078599992</v>
      </c>
      <c r="Q133" s="606">
        <v>412393.26929300057</v>
      </c>
      <c r="R133" s="606">
        <v>386570.40207100031</v>
      </c>
    </row>
    <row r="134" spans="2:18" ht="12.75" customHeight="1">
      <c r="B134" s="204" t="s">
        <v>25</v>
      </c>
      <c r="C134" s="607">
        <f t="shared" ref="C134:I134" si="16">+C133/C107</f>
        <v>0.37479944479247984</v>
      </c>
      <c r="D134" s="607">
        <f t="shared" si="16"/>
        <v>0.39065773190669884</v>
      </c>
      <c r="E134" s="607">
        <f t="shared" si="16"/>
        <v>0.3879621361847953</v>
      </c>
      <c r="F134" s="607">
        <f t="shared" si="16"/>
        <v>0.39121578769724674</v>
      </c>
      <c r="G134" s="607">
        <f t="shared" si="16"/>
        <v>0.36418825593496923</v>
      </c>
      <c r="H134" s="607">
        <f t="shared" si="16"/>
        <v>0.41349661360328455</v>
      </c>
      <c r="I134" s="607">
        <f t="shared" si="16"/>
        <v>0.33340093319150538</v>
      </c>
      <c r="J134" s="607">
        <f>+J133/J107</f>
        <v>0.32180781313983781</v>
      </c>
      <c r="K134" s="607">
        <f t="shared" ref="K134:M134" si="17">+K133/K107</f>
        <v>0.27792047962000294</v>
      </c>
      <c r="L134" s="607">
        <f t="shared" si="17"/>
        <v>0.35449533698733582</v>
      </c>
      <c r="M134" s="607">
        <f t="shared" si="17"/>
        <v>0.33288775905562712</v>
      </c>
      <c r="N134" s="607">
        <f>+N133/N107</f>
        <v>0.33210979459002099</v>
      </c>
      <c r="O134" s="607">
        <f t="shared" ref="O134:P134" si="18">+O133/O107</f>
        <v>0.28441411890460416</v>
      </c>
      <c r="P134" s="607">
        <f t="shared" si="18"/>
        <v>0.33145444976914396</v>
      </c>
      <c r="Q134" s="607">
        <v>0.36490280423522881</v>
      </c>
      <c r="R134" s="607"/>
    </row>
    <row r="135" spans="2:18" ht="12.75" customHeight="1">
      <c r="B135" s="186"/>
      <c r="C135" s="186"/>
      <c r="D135" s="186"/>
      <c r="E135" s="186"/>
      <c r="F135" s="186"/>
      <c r="G135" s="186"/>
      <c r="H135" s="186"/>
      <c r="I135" s="186"/>
      <c r="J135" s="186"/>
      <c r="K135" s="186"/>
      <c r="L135" s="186"/>
      <c r="M135" s="186"/>
      <c r="N135" s="186"/>
      <c r="O135" s="186"/>
      <c r="P135" s="186"/>
      <c r="Q135" s="186"/>
      <c r="R135" s="186"/>
    </row>
    <row r="136" spans="2:18" ht="12.75" hidden="1" customHeight="1">
      <c r="B136" s="186"/>
      <c r="C136" s="186"/>
      <c r="D136" s="186"/>
      <c r="E136" s="186"/>
      <c r="F136" s="186"/>
      <c r="G136" s="186"/>
      <c r="H136" s="186"/>
      <c r="I136" s="186"/>
      <c r="J136" s="186"/>
      <c r="K136" s="186"/>
      <c r="L136" s="186"/>
      <c r="M136" s="186"/>
      <c r="N136" s="186"/>
      <c r="O136" s="186"/>
      <c r="P136" s="186"/>
      <c r="Q136" s="186"/>
      <c r="R136" s="186"/>
    </row>
    <row r="137" spans="2:18" ht="12.75" customHeight="1">
      <c r="B137" s="202" t="s">
        <v>410</v>
      </c>
      <c r="C137" s="191">
        <v>29291.308793999997</v>
      </c>
      <c r="D137" s="191">
        <v>31352.728314000036</v>
      </c>
      <c r="E137" s="191">
        <v>48388.935511999996</v>
      </c>
      <c r="F137" s="191">
        <v>60775.076782999997</v>
      </c>
      <c r="G137" s="191">
        <v>73344.647694999934</v>
      </c>
      <c r="H137" s="191">
        <v>67251.798071000114</v>
      </c>
      <c r="I137" s="191">
        <v>63333.985102000013</v>
      </c>
      <c r="J137" s="191">
        <v>64529.981220000009</v>
      </c>
      <c r="K137" s="191">
        <v>68581.36903599996</v>
      </c>
      <c r="L137" s="191">
        <v>69547.87977300011</v>
      </c>
      <c r="M137" s="191">
        <v>69972.670229999989</v>
      </c>
      <c r="N137" s="191">
        <v>72676.924662000034</v>
      </c>
      <c r="O137" s="191">
        <v>72813.182177999959</v>
      </c>
      <c r="P137" s="191">
        <v>78419.004348999966</v>
      </c>
      <c r="Q137" s="191">
        <v>77860.45659799999</v>
      </c>
      <c r="R137" s="191">
        <v>77770.244055999996</v>
      </c>
    </row>
    <row r="138" spans="2:18" ht="12.75" customHeight="1">
      <c r="B138" s="603"/>
      <c r="C138" s="604"/>
      <c r="D138" s="604"/>
      <c r="E138" s="604"/>
      <c r="F138" s="604"/>
      <c r="G138" s="604"/>
      <c r="H138" s="604"/>
      <c r="I138" s="604"/>
      <c r="J138" s="604"/>
      <c r="K138" s="604"/>
      <c r="L138" s="604"/>
      <c r="M138" s="604"/>
      <c r="N138" s="604"/>
      <c r="O138" s="604"/>
      <c r="P138" s="604"/>
      <c r="Q138" s="604"/>
      <c r="R138" s="604"/>
    </row>
    <row r="139" spans="2:18" ht="12.75" hidden="1" customHeight="1">
      <c r="B139" s="603" t="s">
        <v>579</v>
      </c>
      <c r="C139" s="604"/>
      <c r="D139" s="604"/>
      <c r="E139" s="604"/>
      <c r="F139" s="604"/>
      <c r="G139" s="604"/>
      <c r="H139" s="604"/>
      <c r="I139" s="604"/>
      <c r="J139" s="604"/>
      <c r="K139" s="604"/>
      <c r="L139" s="604"/>
      <c r="M139" s="604"/>
      <c r="N139" s="604"/>
      <c r="O139" s="604"/>
      <c r="P139" s="604"/>
      <c r="Q139" s="604"/>
      <c r="R139" s="604"/>
    </row>
    <row r="140" spans="2:18" ht="12.75" hidden="1" customHeight="1">
      <c r="B140" s="603" t="s">
        <v>397</v>
      </c>
      <c r="C140" s="604"/>
      <c r="D140" s="604"/>
      <c r="E140" s="604"/>
      <c r="F140" s="604"/>
      <c r="G140" s="604"/>
      <c r="H140" s="604"/>
      <c r="I140" s="604"/>
      <c r="J140" s="604"/>
      <c r="K140" s="604"/>
      <c r="L140" s="604"/>
      <c r="M140" s="604"/>
      <c r="N140" s="604"/>
      <c r="O140" s="604"/>
      <c r="P140" s="604"/>
      <c r="Q140" s="604"/>
      <c r="R140" s="604"/>
    </row>
    <row r="141" spans="2:18" ht="12.75" hidden="1" customHeight="1">
      <c r="B141" s="603" t="s">
        <v>78</v>
      </c>
      <c r="C141" s="186"/>
      <c r="D141" s="186"/>
      <c r="E141" s="186"/>
      <c r="F141" s="186"/>
      <c r="G141" s="186"/>
      <c r="H141" s="186"/>
      <c r="I141" s="186"/>
      <c r="J141" s="186"/>
      <c r="K141" s="186"/>
      <c r="L141" s="186"/>
      <c r="M141" s="186"/>
      <c r="N141" s="186"/>
      <c r="O141" s="186"/>
      <c r="P141" s="186"/>
      <c r="Q141" s="186"/>
      <c r="R141" s="186"/>
    </row>
    <row r="142" spans="2:18" ht="12.75" hidden="1" customHeight="1">
      <c r="B142" s="187"/>
      <c r="C142" s="232"/>
      <c r="D142" s="232"/>
      <c r="E142" s="232"/>
      <c r="F142" s="232"/>
      <c r="G142" s="232"/>
      <c r="H142" s="232"/>
      <c r="I142" s="232"/>
      <c r="J142" s="232"/>
      <c r="K142" s="232"/>
      <c r="L142" s="232"/>
      <c r="M142" s="232"/>
      <c r="N142" s="232"/>
      <c r="O142" s="232"/>
      <c r="P142" s="232"/>
      <c r="Q142" s="232"/>
      <c r="R142" s="232"/>
    </row>
    <row r="143" spans="2:18" ht="12.75" hidden="1" customHeight="1">
      <c r="B143" s="188"/>
      <c r="C143" s="189" t="str">
        <f>+$C$7</f>
        <v>4T 2017</v>
      </c>
      <c r="D143" s="189" t="str">
        <f>+$D$7</f>
        <v>4T 2018</v>
      </c>
      <c r="E143" s="189" t="str">
        <f t="shared" ref="E143:M143" si="19">+E$7</f>
        <v>1T2019</v>
      </c>
      <c r="F143" s="189" t="str">
        <f t="shared" si="19"/>
        <v>2T2019</v>
      </c>
      <c r="G143" s="189" t="str">
        <f t="shared" si="19"/>
        <v>3T2019</v>
      </c>
      <c r="H143" s="189" t="str">
        <f t="shared" si="19"/>
        <v>4T2019</v>
      </c>
      <c r="I143" s="189" t="str">
        <f t="shared" si="19"/>
        <v>1T20</v>
      </c>
      <c r="J143" s="189" t="str">
        <f t="shared" si="19"/>
        <v>2T20</v>
      </c>
      <c r="K143" s="189" t="str">
        <f t="shared" si="19"/>
        <v>3T20</v>
      </c>
      <c r="L143" s="189" t="str">
        <f t="shared" si="19"/>
        <v>4T20</v>
      </c>
      <c r="M143" s="189" t="str">
        <f t="shared" si="19"/>
        <v>1T21</v>
      </c>
      <c r="N143" s="189"/>
      <c r="O143" s="189"/>
      <c r="P143" s="189"/>
      <c r="Q143" s="189"/>
      <c r="R143" s="189"/>
    </row>
    <row r="144" spans="2:18" ht="12.75" hidden="1" customHeight="1">
      <c r="B144" s="35"/>
      <c r="C144" s="35"/>
      <c r="D144" s="35"/>
      <c r="E144" s="35"/>
      <c r="F144" s="35"/>
      <c r="G144" s="35"/>
      <c r="H144" s="35"/>
      <c r="I144" s="35"/>
      <c r="J144" s="35"/>
      <c r="K144" s="35"/>
      <c r="L144" s="35"/>
      <c r="M144" s="35"/>
      <c r="N144" s="35"/>
      <c r="O144" s="35"/>
      <c r="P144" s="35"/>
      <c r="Q144" s="35"/>
      <c r="R144" s="35"/>
    </row>
    <row r="145" spans="2:18" ht="12.75" hidden="1" customHeight="1">
      <c r="B145" s="190" t="s">
        <v>81</v>
      </c>
      <c r="C145" s="191">
        <v>145293.81655299995</v>
      </c>
      <c r="D145" s="191">
        <v>138475.578981</v>
      </c>
      <c r="E145" s="191">
        <v>181960.62599500001</v>
      </c>
      <c r="F145" s="191">
        <v>170109.77636500011</v>
      </c>
      <c r="G145" s="191">
        <v>148603.79736299993</v>
      </c>
      <c r="H145" s="191">
        <v>217820.83673599991</v>
      </c>
      <c r="I145" s="191">
        <v>276563.18096799997</v>
      </c>
      <c r="J145" s="191">
        <v>296149.90408899996</v>
      </c>
      <c r="K145" s="191">
        <v>180612.25089899998</v>
      </c>
      <c r="L145" s="191">
        <v>191826.51343100017</v>
      </c>
      <c r="M145" s="191"/>
      <c r="N145" s="191"/>
      <c r="O145" s="191"/>
      <c r="P145" s="191"/>
      <c r="Q145" s="191"/>
      <c r="R145" s="191"/>
    </row>
    <row r="146" spans="2:18" ht="12.75" hidden="1" customHeight="1">
      <c r="B146" s="190" t="s">
        <v>82</v>
      </c>
      <c r="C146" s="191">
        <v>205908.75772500003</v>
      </c>
      <c r="D146" s="191">
        <v>243296.96414399997</v>
      </c>
      <c r="E146" s="191">
        <v>238498.59358799999</v>
      </c>
      <c r="F146" s="191">
        <v>250770.45239500015</v>
      </c>
      <c r="G146" s="191">
        <v>286589.71493599989</v>
      </c>
      <c r="H146" s="191">
        <v>275759.25280999998</v>
      </c>
      <c r="I146" s="191">
        <v>270938.90500299999</v>
      </c>
      <c r="J146" s="191">
        <v>263484.72318299994</v>
      </c>
      <c r="K146" s="191">
        <v>284714.71502999985</v>
      </c>
      <c r="L146" s="191">
        <v>315940.30697100039</v>
      </c>
      <c r="M146" s="191"/>
      <c r="N146" s="191"/>
      <c r="O146" s="191"/>
      <c r="P146" s="191"/>
      <c r="Q146" s="191"/>
      <c r="R146" s="191"/>
    </row>
    <row r="147" spans="2:18" ht="12.75" hidden="1" customHeight="1">
      <c r="B147" s="190" t="s">
        <v>83</v>
      </c>
      <c r="C147" s="191">
        <v>67071.027787000028</v>
      </c>
      <c r="D147" s="191">
        <v>76719.641413999983</v>
      </c>
      <c r="E147" s="191">
        <v>77574.768978000022</v>
      </c>
      <c r="F147" s="191">
        <v>90960.163305999959</v>
      </c>
      <c r="G147" s="191">
        <v>92994.093040999986</v>
      </c>
      <c r="H147" s="191">
        <v>111920.07027399997</v>
      </c>
      <c r="I147" s="191">
        <v>81477.894150000007</v>
      </c>
      <c r="J147" s="191">
        <v>76262.521691999951</v>
      </c>
      <c r="K147" s="191">
        <v>77150.130097000016</v>
      </c>
      <c r="L147" s="191">
        <v>77876.522428999946</v>
      </c>
      <c r="M147" s="191"/>
      <c r="N147" s="191"/>
      <c r="O147" s="191"/>
      <c r="P147" s="191"/>
      <c r="Q147" s="191"/>
      <c r="R147" s="191"/>
    </row>
    <row r="148" spans="2:18" ht="12.75" hidden="1" customHeight="1">
      <c r="B148" s="190" t="s">
        <v>84</v>
      </c>
      <c r="C148" s="191">
        <v>0</v>
      </c>
      <c r="D148" s="191">
        <v>0</v>
      </c>
      <c r="E148" s="191">
        <v>0</v>
      </c>
      <c r="F148" s="191">
        <v>0</v>
      </c>
      <c r="G148" s="191">
        <v>0</v>
      </c>
      <c r="H148" s="191">
        <v>462.68968299999995</v>
      </c>
      <c r="I148" s="191">
        <v>1213.0065090000001</v>
      </c>
      <c r="J148" s="191">
        <v>782.31392699999992</v>
      </c>
      <c r="K148" s="191">
        <v>0</v>
      </c>
      <c r="L148" s="191">
        <v>17.334912000000031</v>
      </c>
      <c r="M148" s="191"/>
      <c r="N148" s="191"/>
      <c r="O148" s="191"/>
      <c r="P148" s="191"/>
      <c r="Q148" s="191"/>
      <c r="R148" s="191"/>
    </row>
    <row r="149" spans="2:18" ht="12.75" hidden="1" customHeight="1">
      <c r="B149" s="190" t="s">
        <v>85</v>
      </c>
      <c r="C149" s="191">
        <v>9074.7120819999946</v>
      </c>
      <c r="D149" s="191">
        <v>14316.740249999995</v>
      </c>
      <c r="E149" s="191">
        <v>9958.784813000002</v>
      </c>
      <c r="F149" s="191">
        <v>54479.031777000004</v>
      </c>
      <c r="G149" s="191">
        <v>84777.235595000006</v>
      </c>
      <c r="H149" s="191">
        <v>81828.151834000018</v>
      </c>
      <c r="I149" s="191">
        <v>68026.097867000033</v>
      </c>
      <c r="J149" s="191">
        <v>22553.788642999993</v>
      </c>
      <c r="K149" s="191">
        <v>24565.592532999945</v>
      </c>
      <c r="L149" s="191">
        <v>35899.251095000043</v>
      </c>
      <c r="M149" s="191"/>
      <c r="N149" s="191"/>
      <c r="O149" s="191"/>
      <c r="P149" s="191"/>
      <c r="Q149" s="191"/>
      <c r="R149" s="191"/>
    </row>
    <row r="150" spans="2:18" ht="12.75" hidden="1" customHeight="1">
      <c r="B150" s="186" t="s">
        <v>86</v>
      </c>
      <c r="C150" s="192">
        <v>427348.31414699997</v>
      </c>
      <c r="D150" s="192">
        <v>472808.9247889999</v>
      </c>
      <c r="E150" s="192">
        <v>507992.77337399998</v>
      </c>
      <c r="F150" s="192">
        <v>566319.4238430002</v>
      </c>
      <c r="G150" s="192">
        <v>612964.84093499975</v>
      </c>
      <c r="H150" s="192">
        <v>687791.00133699994</v>
      </c>
      <c r="I150" s="192">
        <v>698219.08449699997</v>
      </c>
      <c r="J150" s="192">
        <v>659233.25153399981</v>
      </c>
      <c r="K150" s="192">
        <v>567042.6885589998</v>
      </c>
      <c r="L150" s="192">
        <v>621559.92883800052</v>
      </c>
      <c r="M150" s="192"/>
      <c r="N150" s="192"/>
      <c r="O150" s="192"/>
      <c r="P150" s="192"/>
      <c r="Q150" s="192"/>
      <c r="R150" s="192"/>
    </row>
    <row r="151" spans="2:18" ht="12.75" hidden="1" customHeight="1">
      <c r="B151" s="186"/>
      <c r="C151" s="186"/>
      <c r="D151" s="186"/>
      <c r="E151" s="186"/>
      <c r="F151" s="186"/>
      <c r="G151" s="186"/>
      <c r="H151" s="186"/>
      <c r="I151" s="186"/>
      <c r="J151" s="186"/>
      <c r="K151" s="186"/>
      <c r="L151" s="186"/>
      <c r="M151" s="186"/>
      <c r="N151" s="186"/>
      <c r="O151" s="186"/>
      <c r="P151" s="186"/>
      <c r="Q151" s="186"/>
      <c r="R151" s="186"/>
    </row>
    <row r="152" spans="2:18" ht="12.75" hidden="1" customHeight="1">
      <c r="B152" s="186" t="s">
        <v>87</v>
      </c>
      <c r="C152" s="193">
        <v>-267578.90099300013</v>
      </c>
      <c r="D152" s="193">
        <v>-290521.25175900059</v>
      </c>
      <c r="E152" s="193">
        <v>-324957.30912099988</v>
      </c>
      <c r="F152" s="193">
        <v>-355925.76495799981</v>
      </c>
      <c r="G152" s="193">
        <v>-383189.73147600051</v>
      </c>
      <c r="H152" s="193">
        <v>-401017.44822799833</v>
      </c>
      <c r="I152" s="193">
        <v>-453034.72592300014</v>
      </c>
      <c r="J152" s="193">
        <v>-477139.35878300015</v>
      </c>
      <c r="K152" s="193">
        <v>-429615.35129799997</v>
      </c>
      <c r="L152" s="193">
        <v>-451457.03305099974</v>
      </c>
      <c r="M152" s="193"/>
      <c r="N152" s="193"/>
      <c r="O152" s="193"/>
      <c r="P152" s="193"/>
      <c r="Q152" s="193"/>
      <c r="R152" s="193"/>
    </row>
    <row r="153" spans="2:18" ht="12.75" hidden="1" customHeight="1">
      <c r="B153" s="194" t="s">
        <v>88</v>
      </c>
      <c r="C153" s="605">
        <v>159769.41315399983</v>
      </c>
      <c r="D153" s="605">
        <v>182287.67302999931</v>
      </c>
      <c r="E153" s="605">
        <v>183035.4642530001</v>
      </c>
      <c r="F153" s="605">
        <v>210393.65888500042</v>
      </c>
      <c r="G153" s="605">
        <v>229775.10945899927</v>
      </c>
      <c r="H153" s="605">
        <v>286773.55310900154</v>
      </c>
      <c r="I153" s="605">
        <v>245184.35857399987</v>
      </c>
      <c r="J153" s="605">
        <v>182093.89275099966</v>
      </c>
      <c r="K153" s="605">
        <v>137427.33726099983</v>
      </c>
      <c r="L153" s="605">
        <v>170102.89578700077</v>
      </c>
      <c r="M153" s="605"/>
      <c r="N153" s="605"/>
      <c r="O153" s="605"/>
      <c r="P153" s="605"/>
      <c r="Q153" s="605"/>
      <c r="R153" s="605"/>
    </row>
    <row r="154" spans="2:18" ht="12.75" hidden="1" customHeight="1">
      <c r="B154" s="195" t="s">
        <v>89</v>
      </c>
      <c r="C154" s="200">
        <f t="shared" ref="C154:I154" si="20">+C153/C150</f>
        <v>0.37386227549043777</v>
      </c>
      <c r="D154" s="200">
        <f t="shared" si="20"/>
        <v>0.38554194617064114</v>
      </c>
      <c r="E154" s="200">
        <f t="shared" si="20"/>
        <v>0.3603111576515356</v>
      </c>
      <c r="F154" s="200">
        <f t="shared" si="20"/>
        <v>0.37151058223870403</v>
      </c>
      <c r="G154" s="200">
        <f t="shared" si="20"/>
        <v>0.3748585467129022</v>
      </c>
      <c r="H154" s="200">
        <f t="shared" si="20"/>
        <v>0.41694868434094251</v>
      </c>
      <c r="I154" s="200">
        <f t="shared" si="20"/>
        <v>0.35115677015708002</v>
      </c>
      <c r="J154" s="200">
        <f>+J153/J150</f>
        <v>0.27622073420489196</v>
      </c>
      <c r="K154" s="200">
        <f>+K153/K150</f>
        <v>0.24235800943000918</v>
      </c>
      <c r="L154" s="200">
        <f>+L153/L150</f>
        <v>0.27367094932423697</v>
      </c>
      <c r="M154" s="200"/>
      <c r="N154" s="200"/>
      <c r="O154" s="200"/>
      <c r="P154" s="200"/>
      <c r="Q154" s="200"/>
      <c r="R154" s="200"/>
    </row>
    <row r="155" spans="2:18" ht="12.75" hidden="1" customHeight="1">
      <c r="B155" s="195"/>
      <c r="C155" s="195"/>
      <c r="D155" s="195"/>
      <c r="E155" s="195"/>
      <c r="F155" s="195"/>
      <c r="G155" s="195"/>
      <c r="H155" s="195"/>
      <c r="I155" s="195"/>
      <c r="J155" s="195"/>
      <c r="K155" s="195"/>
      <c r="L155" s="195"/>
      <c r="M155" s="195"/>
      <c r="N155" s="195"/>
      <c r="O155" s="195"/>
      <c r="P155" s="195"/>
      <c r="Q155" s="195"/>
      <c r="R155" s="195"/>
    </row>
    <row r="156" spans="2:18" ht="12.75" hidden="1" customHeight="1">
      <c r="B156" s="190" t="s">
        <v>90</v>
      </c>
      <c r="C156" s="191">
        <v>1041.7205400000003</v>
      </c>
      <c r="D156" s="191">
        <v>1512.8287360000004</v>
      </c>
      <c r="E156" s="191">
        <v>937.91457600000001</v>
      </c>
      <c r="F156" s="191">
        <v>980.43736899999988</v>
      </c>
      <c r="G156" s="191">
        <v>1948.2884669999999</v>
      </c>
      <c r="H156" s="191">
        <v>336959.42319399997</v>
      </c>
      <c r="I156" s="191">
        <v>152.14997900000003</v>
      </c>
      <c r="J156" s="191">
        <v>1524.0144619999999</v>
      </c>
      <c r="K156" s="191">
        <v>10003.425359999999</v>
      </c>
      <c r="L156" s="191">
        <v>19369.483962999999</v>
      </c>
      <c r="M156" s="191"/>
      <c r="N156" s="191"/>
      <c r="O156" s="191"/>
      <c r="P156" s="191"/>
      <c r="Q156" s="191"/>
      <c r="R156" s="191"/>
    </row>
    <row r="157" spans="2:18" ht="12.75" hidden="1" customHeight="1">
      <c r="B157" s="196" t="s">
        <v>91</v>
      </c>
      <c r="C157" s="191">
        <v>-29100.972285999931</v>
      </c>
      <c r="D157" s="191">
        <v>-29556.895104999989</v>
      </c>
      <c r="E157" s="191">
        <v>-35158.68537899998</v>
      </c>
      <c r="F157" s="191">
        <v>-44828.946910999985</v>
      </c>
      <c r="G157" s="191">
        <v>-55730.943874000062</v>
      </c>
      <c r="H157" s="191">
        <v>-58507.381814000022</v>
      </c>
      <c r="I157" s="191">
        <v>-49101.306304000005</v>
      </c>
      <c r="J157" s="191">
        <v>-53216.393414999991</v>
      </c>
      <c r="K157" s="191">
        <v>-73015.865903999977</v>
      </c>
      <c r="L157" s="191">
        <v>-47366.329344000027</v>
      </c>
      <c r="M157" s="191"/>
      <c r="N157" s="191"/>
      <c r="O157" s="191"/>
      <c r="P157" s="191"/>
      <c r="Q157" s="191"/>
      <c r="R157" s="191"/>
    </row>
    <row r="158" spans="2:18" ht="12.75" hidden="1" customHeight="1">
      <c r="B158" s="190" t="s">
        <v>92</v>
      </c>
      <c r="C158" s="191">
        <v>-781.82100899999932</v>
      </c>
      <c r="D158" s="191">
        <v>-2747.3248129999993</v>
      </c>
      <c r="E158" s="191">
        <v>-4597.6971610000001</v>
      </c>
      <c r="F158" s="191">
        <v>-3332.0099840000003</v>
      </c>
      <c r="G158" s="191">
        <v>811.10310600000048</v>
      </c>
      <c r="H158" s="191">
        <v>-1127.3343969999987</v>
      </c>
      <c r="I158" s="191">
        <v>-11265.281477999997</v>
      </c>
      <c r="J158" s="191">
        <v>-318.82146700000339</v>
      </c>
      <c r="K158" s="191">
        <v>-3821.2575339999985</v>
      </c>
      <c r="L158" s="191">
        <v>-1037.7948309999974</v>
      </c>
      <c r="M158" s="191"/>
      <c r="N158" s="191"/>
      <c r="O158" s="191"/>
      <c r="P158" s="191"/>
      <c r="Q158" s="191"/>
      <c r="R158" s="191"/>
    </row>
    <row r="159" spans="2:18" ht="12.75" hidden="1" customHeight="1">
      <c r="B159" s="190" t="s">
        <v>393</v>
      </c>
      <c r="C159" s="191">
        <v>4145.9503819999991</v>
      </c>
      <c r="D159" s="191">
        <v>4622.7264910000013</v>
      </c>
      <c r="E159" s="191">
        <v>4868.3876580000006</v>
      </c>
      <c r="F159" s="191">
        <v>9195.9676370000016</v>
      </c>
      <c r="G159" s="191">
        <v>5624.9637800000019</v>
      </c>
      <c r="H159" s="191">
        <v>13796.658977999996</v>
      </c>
      <c r="I159" s="191">
        <v>1995.1904490000002</v>
      </c>
      <c r="J159" s="191">
        <v>45758.139126999995</v>
      </c>
      <c r="K159" s="191">
        <v>45896.64026599998</v>
      </c>
      <c r="L159" s="191">
        <v>80455.661224000025</v>
      </c>
      <c r="M159" s="191"/>
      <c r="N159" s="191"/>
      <c r="O159" s="191"/>
      <c r="P159" s="191"/>
      <c r="Q159" s="191"/>
      <c r="R159" s="191"/>
    </row>
    <row r="160" spans="2:18" ht="12.75" hidden="1" customHeight="1">
      <c r="B160" s="194" t="s">
        <v>93</v>
      </c>
      <c r="C160" s="605">
        <v>135074.2907809999</v>
      </c>
      <c r="D160" s="605">
        <v>156119.00833899932</v>
      </c>
      <c r="E160" s="605">
        <v>149085.38394700011</v>
      </c>
      <c r="F160" s="605">
        <v>172409.10699600045</v>
      </c>
      <c r="G160" s="605">
        <v>182428.52093799922</v>
      </c>
      <c r="H160" s="605">
        <v>577894.91907000146</v>
      </c>
      <c r="I160" s="605">
        <v>186965.11121999985</v>
      </c>
      <c r="J160" s="605">
        <v>175840.83145799965</v>
      </c>
      <c r="K160" s="605">
        <v>116490.27944899985</v>
      </c>
      <c r="L160" s="605">
        <v>221523.91679900076</v>
      </c>
      <c r="M160" s="605"/>
      <c r="N160" s="605"/>
      <c r="O160" s="605"/>
      <c r="P160" s="605"/>
      <c r="Q160" s="605"/>
      <c r="R160" s="605"/>
    </row>
    <row r="161" spans="2:18" ht="12.75" hidden="1" customHeight="1">
      <c r="B161" s="197"/>
      <c r="C161" s="198"/>
      <c r="D161" s="198"/>
      <c r="E161" s="198"/>
      <c r="F161" s="198"/>
      <c r="G161" s="198"/>
      <c r="H161" s="198"/>
      <c r="I161" s="198"/>
      <c r="J161" s="198"/>
      <c r="K161" s="198"/>
      <c r="L161" s="198"/>
      <c r="M161" s="198"/>
      <c r="N161" s="198"/>
      <c r="O161" s="198"/>
      <c r="P161" s="198"/>
      <c r="Q161" s="198"/>
      <c r="R161" s="198"/>
    </row>
    <row r="162" spans="2:18" ht="12.75" hidden="1" customHeight="1">
      <c r="B162" s="196" t="s">
        <v>94</v>
      </c>
      <c r="C162" s="191">
        <v>1102.4019269999999</v>
      </c>
      <c r="D162" s="191">
        <v>1551.7722890000005</v>
      </c>
      <c r="E162" s="191">
        <v>1581.7747500000003</v>
      </c>
      <c r="F162" s="191">
        <v>5573.6574309999996</v>
      </c>
      <c r="G162" s="191">
        <v>1841.8907409999974</v>
      </c>
      <c r="H162" s="191">
        <v>2270.3584610000016</v>
      </c>
      <c r="I162" s="191">
        <v>4913.8422289999999</v>
      </c>
      <c r="J162" s="191">
        <v>8313.0896300000004</v>
      </c>
      <c r="K162" s="191">
        <v>8363.4118799999997</v>
      </c>
      <c r="L162" s="191">
        <v>6391.9529740000035</v>
      </c>
      <c r="M162" s="191"/>
      <c r="N162" s="191"/>
      <c r="O162" s="191"/>
      <c r="P162" s="191"/>
      <c r="Q162" s="191"/>
      <c r="R162" s="191"/>
    </row>
    <row r="163" spans="2:18" ht="12.75" hidden="1" customHeight="1">
      <c r="B163" s="196" t="s">
        <v>95</v>
      </c>
      <c r="C163" s="191">
        <v>-24119.022766999988</v>
      </c>
      <c r="D163" s="191">
        <v>-19711.730883000011</v>
      </c>
      <c r="E163" s="191">
        <v>-45890.555216000001</v>
      </c>
      <c r="F163" s="191">
        <v>-74401.166035000002</v>
      </c>
      <c r="G163" s="191">
        <v>-70798.014266999948</v>
      </c>
      <c r="H163" s="191">
        <v>-85156.860493000073</v>
      </c>
      <c r="I163" s="191">
        <v>-70263.005668000013</v>
      </c>
      <c r="J163" s="191">
        <v>-58524.45224199997</v>
      </c>
      <c r="K163" s="191">
        <v>-52423.416664000048</v>
      </c>
      <c r="L163" s="191">
        <v>-79901.372689999931</v>
      </c>
      <c r="M163" s="191"/>
      <c r="N163" s="191"/>
      <c r="O163" s="191"/>
      <c r="P163" s="191"/>
      <c r="Q163" s="191"/>
      <c r="R163" s="191"/>
    </row>
    <row r="164" spans="2:18" ht="12.75" hidden="1" customHeight="1">
      <c r="B164" s="196" t="s">
        <v>242</v>
      </c>
      <c r="C164" s="191">
        <v>-163.88489300000037</v>
      </c>
      <c r="D164" s="191">
        <v>-2810.1750090000005</v>
      </c>
      <c r="E164" s="191">
        <v>2701.1536359999996</v>
      </c>
      <c r="F164" s="191">
        <v>31579.911566000006</v>
      </c>
      <c r="G164" s="191">
        <v>-51433.957672000004</v>
      </c>
      <c r="H164" s="191">
        <v>1799.6607620000032</v>
      </c>
      <c r="I164" s="191">
        <v>-1895.9100369999992</v>
      </c>
      <c r="J164" s="191">
        <v>65.57663899999352</v>
      </c>
      <c r="K164" s="191">
        <v>-7379.7246479999922</v>
      </c>
      <c r="L164" s="191">
        <v>1006.1455800000003</v>
      </c>
      <c r="M164" s="191"/>
      <c r="N164" s="191"/>
      <c r="O164" s="191"/>
      <c r="P164" s="191"/>
      <c r="Q164" s="191"/>
      <c r="R164" s="191"/>
    </row>
    <row r="165" spans="2:18" ht="12.75" hidden="1" customHeight="1">
      <c r="B165" s="194" t="s">
        <v>96</v>
      </c>
      <c r="C165" s="605">
        <v>111893.78504799992</v>
      </c>
      <c r="D165" s="605">
        <v>135148.87473599933</v>
      </c>
      <c r="E165" s="605">
        <v>107477.75711700013</v>
      </c>
      <c r="F165" s="605">
        <v>135161.50995800045</v>
      </c>
      <c r="G165" s="605">
        <v>62038.439739999267</v>
      </c>
      <c r="H165" s="605">
        <v>496808.07780000137</v>
      </c>
      <c r="I165" s="605">
        <v>119720.03774399986</v>
      </c>
      <c r="J165" s="605">
        <v>125695.04548499967</v>
      </c>
      <c r="K165" s="605">
        <v>65050.550016999812</v>
      </c>
      <c r="L165" s="605">
        <v>149020.64266300085</v>
      </c>
      <c r="M165" s="605"/>
      <c r="N165" s="605"/>
      <c r="O165" s="605"/>
      <c r="P165" s="605"/>
      <c r="Q165" s="605"/>
      <c r="R165" s="605"/>
    </row>
    <row r="166" spans="2:18" ht="12.75" hidden="1" customHeight="1">
      <c r="B166" s="43" t="s">
        <v>243</v>
      </c>
      <c r="C166" s="191">
        <v>-1770.5518220000004</v>
      </c>
      <c r="D166" s="191">
        <v>35184.052022000003</v>
      </c>
      <c r="E166" s="191">
        <v>4815.8111150000004</v>
      </c>
      <c r="F166" s="191">
        <v>-5841.6045549999999</v>
      </c>
      <c r="G166" s="191">
        <v>12914.509185999999</v>
      </c>
      <c r="H166" s="191">
        <v>167.64931600000091</v>
      </c>
      <c r="I166" s="191">
        <v>-2359.2722220000001</v>
      </c>
      <c r="J166" s="191">
        <v>2467.8716429999999</v>
      </c>
      <c r="K166" s="191">
        <v>-5377.586738</v>
      </c>
      <c r="L166" s="191">
        <v>-12135.427437</v>
      </c>
      <c r="M166" s="191"/>
      <c r="N166" s="191"/>
      <c r="O166" s="191"/>
      <c r="P166" s="191"/>
      <c r="Q166" s="191"/>
      <c r="R166" s="191"/>
    </row>
    <row r="167" spans="2:18" ht="12.75" hidden="1" customHeight="1">
      <c r="B167" s="196" t="s">
        <v>394</v>
      </c>
      <c r="C167" s="191">
        <v>-45095.939653000023</v>
      </c>
      <c r="D167" s="191">
        <v>-44411.485451000015</v>
      </c>
      <c r="E167" s="191">
        <v>-39480.178381999998</v>
      </c>
      <c r="F167" s="191">
        <v>-34267.658937</v>
      </c>
      <c r="G167" s="191">
        <v>-24221.142162000004</v>
      </c>
      <c r="H167" s="191">
        <v>-126753.297614</v>
      </c>
      <c r="I167" s="191">
        <v>-39637.876059000002</v>
      </c>
      <c r="J167" s="191">
        <v>-25430.018640999995</v>
      </c>
      <c r="K167" s="191">
        <v>-915.24530899999809</v>
      </c>
      <c r="L167" s="191">
        <v>-22042.432957000012</v>
      </c>
      <c r="M167" s="191"/>
      <c r="N167" s="191"/>
      <c r="O167" s="191"/>
      <c r="P167" s="191"/>
      <c r="Q167" s="191"/>
      <c r="R167" s="191"/>
    </row>
    <row r="168" spans="2:18" ht="12.75" hidden="1" customHeight="1">
      <c r="B168" s="199" t="s">
        <v>97</v>
      </c>
      <c r="C168" s="605">
        <v>65027.293572999901</v>
      </c>
      <c r="D168" s="605">
        <v>125921.44130699933</v>
      </c>
      <c r="E168" s="605">
        <v>72813.389850000123</v>
      </c>
      <c r="F168" s="605">
        <v>95052.246466000433</v>
      </c>
      <c r="G168" s="605">
        <v>50731.806763999266</v>
      </c>
      <c r="H168" s="605">
        <v>370222.42950200138</v>
      </c>
      <c r="I168" s="605">
        <v>77722.889462999854</v>
      </c>
      <c r="J168" s="605">
        <v>102732.89848699968</v>
      </c>
      <c r="K168" s="605">
        <v>58757.717969999816</v>
      </c>
      <c r="L168" s="605">
        <v>114842.78226900083</v>
      </c>
      <c r="M168" s="605"/>
      <c r="N168" s="605"/>
      <c r="O168" s="605"/>
      <c r="P168" s="605"/>
      <c r="Q168" s="605"/>
      <c r="R168" s="605"/>
    </row>
    <row r="169" spans="2:18" ht="12.75" hidden="1" customHeight="1">
      <c r="B169" s="195" t="s">
        <v>395</v>
      </c>
      <c r="C169" s="200">
        <f t="shared" ref="C169:I169" si="21">+C168/C150</f>
        <v>0.15216461939904063</v>
      </c>
      <c r="D169" s="200">
        <f t="shared" si="21"/>
        <v>0.26632627834424699</v>
      </c>
      <c r="E169" s="200">
        <f t="shared" si="21"/>
        <v>0.14333548362585199</v>
      </c>
      <c r="F169" s="200">
        <f t="shared" si="21"/>
        <v>0.1678421090009295</v>
      </c>
      <c r="G169" s="200">
        <f t="shared" si="21"/>
        <v>8.2764627554517411E-2</v>
      </c>
      <c r="H169" s="200">
        <f t="shared" si="21"/>
        <v>0.53827751276525049</v>
      </c>
      <c r="I169" s="200">
        <f t="shared" si="21"/>
        <v>0.11131590526344859</v>
      </c>
      <c r="J169" s="200">
        <f>+J168/J150</f>
        <v>0.15583694883100302</v>
      </c>
      <c r="K169" s="200">
        <f>+K168/K150</f>
        <v>0.10362133073140961</v>
      </c>
      <c r="L169" s="200">
        <f>+L168/L150</f>
        <v>0.18476542154784359</v>
      </c>
      <c r="M169" s="200"/>
      <c r="N169" s="200"/>
      <c r="O169" s="200"/>
      <c r="P169" s="200"/>
      <c r="Q169" s="200"/>
      <c r="R169" s="200"/>
    </row>
    <row r="170" spans="2:18" ht="12.75" hidden="1" customHeight="1">
      <c r="B170" s="92"/>
      <c r="C170" s="173"/>
      <c r="D170" s="173"/>
      <c r="E170" s="173"/>
      <c r="F170" s="173"/>
      <c r="G170" s="173"/>
      <c r="H170" s="173"/>
      <c r="I170" s="173"/>
      <c r="J170" s="173"/>
      <c r="K170" s="173"/>
      <c r="L170" s="173"/>
      <c r="M170" s="173"/>
      <c r="N170" s="173"/>
      <c r="O170" s="173"/>
      <c r="P170" s="173"/>
      <c r="Q170" s="173"/>
      <c r="R170" s="173"/>
    </row>
    <row r="171" spans="2:18" ht="12.75" hidden="1" customHeight="1">
      <c r="B171" s="104" t="s">
        <v>98</v>
      </c>
      <c r="C171" s="201"/>
      <c r="D171" s="201"/>
      <c r="E171" s="201"/>
      <c r="F171" s="201"/>
      <c r="G171" s="201"/>
      <c r="H171" s="201"/>
      <c r="I171" s="201"/>
      <c r="J171" s="201"/>
      <c r="K171" s="201"/>
      <c r="L171" s="201"/>
      <c r="M171" s="201"/>
      <c r="N171" s="201"/>
      <c r="O171" s="201"/>
      <c r="P171" s="201"/>
      <c r="Q171" s="201"/>
      <c r="R171" s="201"/>
    </row>
    <row r="172" spans="2:18" ht="12.75" hidden="1" customHeight="1">
      <c r="B172" s="202" t="s">
        <v>99</v>
      </c>
      <c r="C172" s="191">
        <v>65027.293572999915</v>
      </c>
      <c r="D172" s="191">
        <v>125921.44130699945</v>
      </c>
      <c r="E172" s="191">
        <v>72813.389850000211</v>
      </c>
      <c r="F172" s="191">
        <v>95052.246466000361</v>
      </c>
      <c r="G172" s="191">
        <v>50731.806763999484</v>
      </c>
      <c r="H172" s="191">
        <v>370222.42950200086</v>
      </c>
      <c r="I172" s="191">
        <v>77722.889462999839</v>
      </c>
      <c r="J172" s="191">
        <v>102732.89848699949</v>
      </c>
      <c r="K172" s="191">
        <v>58757.717969999969</v>
      </c>
      <c r="L172" s="191">
        <v>114842.78226900104</v>
      </c>
      <c r="M172" s="191"/>
      <c r="N172" s="191"/>
      <c r="O172" s="191"/>
      <c r="P172" s="191"/>
      <c r="Q172" s="191"/>
      <c r="R172" s="191"/>
    </row>
    <row r="173" spans="2:18" ht="12.75" hidden="1" customHeight="1">
      <c r="B173" s="202" t="s">
        <v>100</v>
      </c>
      <c r="C173" s="191">
        <v>0</v>
      </c>
      <c r="D173" s="191">
        <v>0</v>
      </c>
      <c r="E173" s="191">
        <v>0</v>
      </c>
      <c r="F173" s="191">
        <v>0</v>
      </c>
      <c r="G173" s="191">
        <v>0</v>
      </c>
      <c r="H173" s="191">
        <v>0</v>
      </c>
      <c r="I173" s="191">
        <v>0</v>
      </c>
      <c r="J173" s="191">
        <v>0</v>
      </c>
      <c r="K173" s="191">
        <v>0</v>
      </c>
      <c r="L173" s="191">
        <v>0</v>
      </c>
      <c r="M173" s="191"/>
      <c r="N173" s="191"/>
      <c r="O173" s="191"/>
      <c r="P173" s="191"/>
      <c r="Q173" s="191"/>
      <c r="R173" s="191"/>
    </row>
    <row r="174" spans="2:18" ht="12.75" hidden="1" customHeight="1">
      <c r="B174" s="199" t="s">
        <v>101</v>
      </c>
      <c r="C174" s="605">
        <v>65027.293572999915</v>
      </c>
      <c r="D174" s="605">
        <v>125921.44130699945</v>
      </c>
      <c r="E174" s="605">
        <v>72813.389850000211</v>
      </c>
      <c r="F174" s="605">
        <v>95052.246466000361</v>
      </c>
      <c r="G174" s="605">
        <v>50731.806763999484</v>
      </c>
      <c r="H174" s="605">
        <v>370222.42950200086</v>
      </c>
      <c r="I174" s="605">
        <v>77722.889462999839</v>
      </c>
      <c r="J174" s="605">
        <v>102732.89848699949</v>
      </c>
      <c r="K174" s="605">
        <v>58757.717969999969</v>
      </c>
      <c r="L174" s="605">
        <v>114842.78226900104</v>
      </c>
      <c r="M174" s="605"/>
      <c r="N174" s="605"/>
      <c r="O174" s="605"/>
      <c r="P174" s="605"/>
      <c r="Q174" s="605"/>
      <c r="R174" s="605"/>
    </row>
    <row r="175" spans="2:18" ht="12.75" hidden="1" customHeight="1">
      <c r="B175" s="92"/>
      <c r="C175" s="92"/>
      <c r="D175" s="92"/>
      <c r="E175" s="92"/>
      <c r="F175" s="92"/>
      <c r="G175" s="92"/>
      <c r="H175" s="92"/>
      <c r="I175" s="92"/>
      <c r="J175" s="92"/>
      <c r="K175" s="92"/>
      <c r="L175" s="92"/>
      <c r="M175" s="92"/>
      <c r="N175" s="92"/>
      <c r="O175" s="92"/>
      <c r="P175" s="92"/>
      <c r="Q175" s="92"/>
      <c r="R175" s="92"/>
    </row>
    <row r="176" spans="2:18" ht="12.75" hidden="1" customHeight="1">
      <c r="B176" s="203" t="s">
        <v>24</v>
      </c>
      <c r="C176" s="606">
        <v>158998.4102539999</v>
      </c>
      <c r="D176" s="606">
        <v>183060.22976799932</v>
      </c>
      <c r="E176" s="606">
        <v>195192.04822700011</v>
      </c>
      <c r="F176" s="606">
        <v>225069.77990200045</v>
      </c>
      <c r="G176" s="606">
        <v>246188.97173999914</v>
      </c>
      <c r="H176" s="606">
        <v>294311.05849400163</v>
      </c>
      <c r="I176" s="606">
        <v>258189.00622799987</v>
      </c>
      <c r="J176" s="606">
        <v>192039.96490399967</v>
      </c>
      <c r="K176" s="606">
        <v>131616.76570099982</v>
      </c>
      <c r="L176" s="606">
        <v>190443.46104900085</v>
      </c>
      <c r="M176" s="606"/>
      <c r="N176" s="606"/>
      <c r="O176" s="606"/>
      <c r="P176" s="606"/>
      <c r="Q176" s="606"/>
      <c r="R176" s="606"/>
    </row>
    <row r="177" spans="2:18" ht="12.75" hidden="1" customHeight="1">
      <c r="B177" s="204" t="s">
        <v>25</v>
      </c>
      <c r="C177" s="607">
        <f t="shared" ref="C177:I177" si="22">+C176/C150</f>
        <v>0.37205811978307551</v>
      </c>
      <c r="D177" s="607">
        <f t="shared" si="22"/>
        <v>0.38717591857999184</v>
      </c>
      <c r="E177" s="607">
        <f t="shared" si="22"/>
        <v>0.38424178149340266</v>
      </c>
      <c r="F177" s="607">
        <f t="shared" si="22"/>
        <v>0.39742549950820011</v>
      </c>
      <c r="G177" s="607">
        <f t="shared" si="22"/>
        <v>0.401636366882755</v>
      </c>
      <c r="H177" s="607">
        <f t="shared" si="22"/>
        <v>0.42790768986783639</v>
      </c>
      <c r="I177" s="607">
        <f t="shared" si="22"/>
        <v>0.36978222446325759</v>
      </c>
      <c r="J177" s="607">
        <f>+J176/J150</f>
        <v>0.29130806805805554</v>
      </c>
      <c r="K177" s="607">
        <v>0.2321108592996263</v>
      </c>
      <c r="L177" s="607">
        <v>0.30639597601639607</v>
      </c>
      <c r="M177" s="607"/>
      <c r="N177" s="607"/>
      <c r="O177" s="607"/>
      <c r="P177" s="607"/>
      <c r="Q177" s="607"/>
      <c r="R177" s="607"/>
    </row>
    <row r="178" spans="2:18" ht="12.75" hidden="1" customHeight="1">
      <c r="B178" s="186"/>
      <c r="C178" s="186"/>
      <c r="D178" s="186"/>
      <c r="E178" s="186"/>
      <c r="F178" s="186"/>
      <c r="G178" s="186"/>
      <c r="H178" s="186"/>
      <c r="I178" s="186"/>
      <c r="J178" s="186"/>
      <c r="K178" s="186"/>
      <c r="L178" s="186"/>
      <c r="M178" s="186"/>
      <c r="N178" s="186"/>
      <c r="O178" s="186"/>
      <c r="P178" s="186"/>
      <c r="Q178" s="186"/>
      <c r="R178" s="186"/>
    </row>
    <row r="179" spans="2:18" ht="12.75" hidden="1" customHeight="1">
      <c r="B179" s="186"/>
      <c r="C179" s="186"/>
      <c r="D179" s="186"/>
      <c r="E179" s="186"/>
      <c r="F179" s="186">
        <v>87142</v>
      </c>
      <c r="G179" s="186">
        <v>0</v>
      </c>
      <c r="H179" s="186">
        <v>0</v>
      </c>
      <c r="I179" s="186">
        <v>0</v>
      </c>
      <c r="J179" s="186"/>
      <c r="K179" s="186"/>
      <c r="L179" s="186"/>
      <c r="M179" s="186"/>
      <c r="N179" s="186"/>
      <c r="O179" s="186"/>
      <c r="P179" s="186"/>
      <c r="Q179" s="186"/>
      <c r="R179" s="186"/>
    </row>
    <row r="180" spans="2:18" ht="12.75" hidden="1" customHeight="1">
      <c r="B180" s="202" t="s">
        <v>410</v>
      </c>
      <c r="C180" s="191">
        <v>28329.969386000001</v>
      </c>
      <c r="D180" s="191">
        <v>30329.451843000017</v>
      </c>
      <c r="E180" s="191">
        <v>47315.269353000003</v>
      </c>
      <c r="F180" s="191">
        <v>59505.067927999997</v>
      </c>
      <c r="G180" s="191">
        <v>72144.806154999926</v>
      </c>
      <c r="H180" s="191">
        <v>66044.887199000077</v>
      </c>
      <c r="I180" s="191">
        <v>62105.953958000006</v>
      </c>
      <c r="J180" s="191">
        <v>63162.465568000021</v>
      </c>
      <c r="K180" s="191">
        <v>67205.294343999951</v>
      </c>
      <c r="L180" s="191">
        <v>67706.894606000104</v>
      </c>
      <c r="M180" s="191"/>
      <c r="N180" s="191"/>
      <c r="O180" s="191"/>
      <c r="P180" s="191"/>
      <c r="Q180" s="191"/>
      <c r="R180" s="191"/>
    </row>
    <row r="181" spans="2:18" ht="12.75" hidden="1" customHeight="1">
      <c r="B181" s="603"/>
      <c r="C181" s="604"/>
      <c r="D181" s="604"/>
      <c r="E181" s="604"/>
      <c r="F181" s="604"/>
      <c r="G181" s="604"/>
      <c r="H181" s="604"/>
      <c r="I181" s="604"/>
      <c r="J181" s="604"/>
      <c r="K181" s="604"/>
      <c r="L181" s="604"/>
      <c r="M181" s="604"/>
      <c r="N181" s="604"/>
      <c r="O181" s="604"/>
      <c r="P181" s="604"/>
      <c r="Q181" s="604"/>
      <c r="R181" s="604"/>
    </row>
    <row r="182" spans="2:18" ht="12.75" hidden="1" customHeight="1">
      <c r="B182" s="603" t="s">
        <v>398</v>
      </c>
      <c r="C182" s="604"/>
      <c r="D182" s="604"/>
      <c r="E182" s="604"/>
      <c r="F182" s="604"/>
      <c r="G182" s="604"/>
      <c r="H182" s="604"/>
      <c r="I182" s="604"/>
      <c r="J182" s="604"/>
      <c r="K182" s="604"/>
      <c r="L182" s="604"/>
      <c r="M182" s="604"/>
      <c r="N182" s="604"/>
      <c r="O182" s="604"/>
      <c r="P182" s="604"/>
      <c r="Q182" s="604"/>
      <c r="R182" s="604"/>
    </row>
    <row r="183" spans="2:18" ht="12.75" hidden="1" customHeight="1">
      <c r="B183" s="603" t="s">
        <v>397</v>
      </c>
      <c r="C183" s="604"/>
      <c r="D183" s="604"/>
      <c r="E183" s="604"/>
      <c r="F183" s="604"/>
      <c r="G183" s="604"/>
      <c r="H183" s="604"/>
      <c r="I183" s="604"/>
      <c r="J183" s="604"/>
      <c r="K183" s="604"/>
      <c r="L183" s="604"/>
      <c r="M183" s="604"/>
      <c r="N183" s="604"/>
      <c r="O183" s="604"/>
      <c r="P183" s="604"/>
      <c r="Q183" s="604"/>
      <c r="R183" s="604"/>
    </row>
    <row r="184" spans="2:18" ht="12.75" hidden="1" customHeight="1">
      <c r="B184" s="603" t="s">
        <v>78</v>
      </c>
      <c r="C184" s="186"/>
      <c r="D184" s="186"/>
      <c r="E184" s="186"/>
      <c r="F184" s="186"/>
      <c r="G184" s="186"/>
      <c r="H184" s="186"/>
      <c r="I184" s="186"/>
      <c r="J184" s="186"/>
      <c r="K184" s="186"/>
      <c r="L184" s="186"/>
      <c r="M184" s="186"/>
      <c r="N184" s="186"/>
      <c r="O184" s="186"/>
      <c r="P184" s="186"/>
      <c r="Q184" s="186"/>
      <c r="R184" s="186"/>
    </row>
    <row r="185" spans="2:18" ht="12.75" hidden="1" customHeight="1">
      <c r="B185" s="187"/>
      <c r="C185" s="232"/>
      <c r="D185" s="232"/>
      <c r="E185" s="232"/>
      <c r="F185" s="232"/>
      <c r="G185" s="232"/>
      <c r="H185" s="232"/>
      <c r="I185" s="232"/>
      <c r="J185" s="232"/>
      <c r="K185" s="232"/>
      <c r="L185" s="232"/>
      <c r="M185" s="232"/>
      <c r="N185" s="232"/>
      <c r="O185" s="232"/>
      <c r="P185" s="232"/>
      <c r="Q185" s="232"/>
      <c r="R185" s="232"/>
    </row>
    <row r="186" spans="2:18" ht="12.75" hidden="1" customHeight="1">
      <c r="B186" s="188"/>
      <c r="C186" s="189" t="str">
        <f>+$C$7</f>
        <v>4T 2017</v>
      </c>
      <c r="D186" s="189" t="str">
        <f>+$D$7</f>
        <v>4T 2018</v>
      </c>
      <c r="E186" s="189" t="str">
        <f t="shared" ref="E186:M186" si="23">+E$7</f>
        <v>1T2019</v>
      </c>
      <c r="F186" s="189" t="str">
        <f t="shared" si="23"/>
        <v>2T2019</v>
      </c>
      <c r="G186" s="189" t="str">
        <f t="shared" si="23"/>
        <v>3T2019</v>
      </c>
      <c r="H186" s="189" t="str">
        <f t="shared" si="23"/>
        <v>4T2019</v>
      </c>
      <c r="I186" s="189" t="str">
        <f t="shared" si="23"/>
        <v>1T20</v>
      </c>
      <c r="J186" s="189" t="str">
        <f t="shared" si="23"/>
        <v>2T20</v>
      </c>
      <c r="K186" s="189" t="str">
        <f t="shared" si="23"/>
        <v>3T20</v>
      </c>
      <c r="L186" s="189" t="str">
        <f t="shared" si="23"/>
        <v>4T20</v>
      </c>
      <c r="M186" s="189" t="str">
        <f t="shared" si="23"/>
        <v>1T21</v>
      </c>
      <c r="N186" s="189"/>
      <c r="O186" s="189"/>
      <c r="P186" s="189"/>
      <c r="Q186" s="189"/>
      <c r="R186" s="189"/>
    </row>
    <row r="187" spans="2:18" ht="12.75" hidden="1" customHeight="1">
      <c r="B187" s="35"/>
      <c r="C187" s="35"/>
      <c r="D187" s="35"/>
      <c r="E187" s="35"/>
      <c r="F187" s="35"/>
      <c r="G187" s="35"/>
      <c r="H187" s="35"/>
      <c r="I187" s="35"/>
      <c r="J187" s="35"/>
      <c r="K187" s="35"/>
      <c r="L187" s="35"/>
      <c r="M187" s="35"/>
      <c r="N187" s="35"/>
      <c r="O187" s="35"/>
      <c r="P187" s="35"/>
      <c r="Q187" s="35"/>
      <c r="R187" s="35"/>
    </row>
    <row r="188" spans="2:18" ht="12.75" hidden="1" customHeight="1">
      <c r="B188" s="190" t="s">
        <v>81</v>
      </c>
      <c r="C188" s="191">
        <v>1568.8726429999992</v>
      </c>
      <c r="D188" s="191">
        <v>1582.2284460000001</v>
      </c>
      <c r="E188" s="191">
        <v>1325.9823779999999</v>
      </c>
      <c r="F188" s="191">
        <v>1401.2572200000002</v>
      </c>
      <c r="G188" s="191">
        <v>51.789667000000009</v>
      </c>
      <c r="H188" s="191">
        <v>4150.4189239999996</v>
      </c>
      <c r="I188" s="191">
        <v>4064.108502</v>
      </c>
      <c r="J188" s="191">
        <v>2408.7343150000006</v>
      </c>
      <c r="K188" s="191">
        <v>520.96575599999869</v>
      </c>
      <c r="L188" s="191">
        <v>654.98104599999988</v>
      </c>
      <c r="M188" s="191"/>
      <c r="N188" s="191"/>
      <c r="O188" s="191"/>
      <c r="P188" s="191"/>
      <c r="Q188" s="191"/>
      <c r="R188" s="191"/>
    </row>
    <row r="189" spans="2:18" ht="12.75" hidden="1" customHeight="1">
      <c r="B189" s="190" t="s">
        <v>82</v>
      </c>
      <c r="C189" s="191">
        <v>20858.579626000006</v>
      </c>
      <c r="D189" s="191">
        <v>22865.328344999994</v>
      </c>
      <c r="E189" s="191">
        <v>22752.138037000001</v>
      </c>
      <c r="F189" s="191">
        <v>21956.205318999997</v>
      </c>
      <c r="G189" s="191">
        <v>24515.248486000011</v>
      </c>
      <c r="H189" s="191">
        <v>23740.815727000008</v>
      </c>
      <c r="I189" s="191">
        <v>25159.238882999998</v>
      </c>
      <c r="J189" s="191">
        <v>23360.062020000005</v>
      </c>
      <c r="K189" s="191">
        <v>25613.079615999995</v>
      </c>
      <c r="L189" s="191">
        <v>27510.613553000003</v>
      </c>
      <c r="M189" s="191"/>
      <c r="N189" s="191"/>
      <c r="O189" s="191"/>
      <c r="P189" s="191"/>
      <c r="Q189" s="191"/>
      <c r="R189" s="191"/>
    </row>
    <row r="190" spans="2:18" ht="12.75" hidden="1" customHeight="1">
      <c r="B190" s="190" t="s">
        <v>83</v>
      </c>
      <c r="C190" s="191">
        <v>865.49335399999927</v>
      </c>
      <c r="D190" s="191">
        <v>849.69503600000053</v>
      </c>
      <c r="E190" s="191">
        <v>932.29324699999995</v>
      </c>
      <c r="F190" s="191">
        <v>889.3236169999999</v>
      </c>
      <c r="G190" s="191">
        <v>925.149541</v>
      </c>
      <c r="H190" s="191">
        <v>2568.6450030000001</v>
      </c>
      <c r="I190" s="191">
        <v>671.4877560000001</v>
      </c>
      <c r="J190" s="191">
        <v>351.0058479999999</v>
      </c>
      <c r="K190" s="191">
        <v>593.27695999999924</v>
      </c>
      <c r="L190" s="191">
        <v>524.98919200000068</v>
      </c>
      <c r="M190" s="191"/>
      <c r="N190" s="191"/>
      <c r="O190" s="191"/>
      <c r="P190" s="191"/>
      <c r="Q190" s="191"/>
      <c r="R190" s="191"/>
    </row>
    <row r="191" spans="2:18" ht="12.75" hidden="1" customHeight="1">
      <c r="B191" s="190" t="s">
        <v>84</v>
      </c>
      <c r="C191" s="191">
        <v>0</v>
      </c>
      <c r="D191" s="191">
        <v>0</v>
      </c>
      <c r="E191" s="191">
        <v>0</v>
      </c>
      <c r="F191" s="191">
        <v>0</v>
      </c>
      <c r="G191" s="191">
        <v>0</v>
      </c>
      <c r="H191" s="191">
        <v>0</v>
      </c>
      <c r="I191" s="191">
        <v>0</v>
      </c>
      <c r="J191" s="191">
        <v>0</v>
      </c>
      <c r="K191" s="191">
        <v>0</v>
      </c>
      <c r="L191" s="191">
        <v>0</v>
      </c>
      <c r="M191" s="191"/>
      <c r="N191" s="191"/>
      <c r="O191" s="191"/>
      <c r="P191" s="191"/>
      <c r="Q191" s="191"/>
      <c r="R191" s="191"/>
    </row>
    <row r="192" spans="2:18" ht="12.75" hidden="1" customHeight="1">
      <c r="B192" s="190" t="s">
        <v>85</v>
      </c>
      <c r="C192" s="191">
        <v>796.15104999999949</v>
      </c>
      <c r="D192" s="191">
        <v>1089.0507920000005</v>
      </c>
      <c r="E192" s="191">
        <v>1047.5524739999998</v>
      </c>
      <c r="F192" s="191">
        <v>2697.5974820000001</v>
      </c>
      <c r="G192" s="191">
        <v>1257.3500479999998</v>
      </c>
      <c r="H192" s="191">
        <v>1306.8960939999997</v>
      </c>
      <c r="I192" s="191">
        <v>2055.9259389999997</v>
      </c>
      <c r="J192" s="191">
        <v>1543.1160760000002</v>
      </c>
      <c r="K192" s="191">
        <v>1700.0849069999986</v>
      </c>
      <c r="L192" s="191">
        <v>1864.6861160000017</v>
      </c>
      <c r="M192" s="191"/>
      <c r="N192" s="191"/>
      <c r="O192" s="191"/>
      <c r="P192" s="191"/>
      <c r="Q192" s="191"/>
      <c r="R192" s="191"/>
    </row>
    <row r="193" spans="2:18" ht="12.75" hidden="1" customHeight="1">
      <c r="B193" s="186" t="s">
        <v>86</v>
      </c>
      <c r="C193" s="192">
        <v>24089.096673000004</v>
      </c>
      <c r="D193" s="192">
        <v>26386.302618999998</v>
      </c>
      <c r="E193" s="192">
        <v>26057.966135999995</v>
      </c>
      <c r="F193" s="192">
        <v>26944.383637999999</v>
      </c>
      <c r="G193" s="192">
        <v>26749.537742000011</v>
      </c>
      <c r="H193" s="192">
        <v>31766.775748000004</v>
      </c>
      <c r="I193" s="192">
        <v>31950.761079999997</v>
      </c>
      <c r="J193" s="192">
        <v>27662.918259000005</v>
      </c>
      <c r="K193" s="192">
        <v>28427.407238999993</v>
      </c>
      <c r="L193" s="192">
        <v>30555.269907000005</v>
      </c>
      <c r="M193" s="192"/>
      <c r="N193" s="192"/>
      <c r="O193" s="192"/>
      <c r="P193" s="192"/>
      <c r="Q193" s="192"/>
      <c r="R193" s="192"/>
    </row>
    <row r="194" spans="2:18" ht="12.75" hidden="1" customHeight="1">
      <c r="B194" s="186"/>
      <c r="C194" s="186"/>
      <c r="D194" s="186"/>
      <c r="E194" s="186"/>
      <c r="F194" s="186"/>
      <c r="G194" s="186"/>
      <c r="H194" s="186"/>
      <c r="I194" s="186"/>
      <c r="J194" s="186"/>
      <c r="K194" s="186"/>
      <c r="L194" s="186"/>
      <c r="M194" s="186"/>
      <c r="N194" s="186"/>
      <c r="O194" s="186"/>
      <c r="P194" s="186"/>
      <c r="Q194" s="186"/>
      <c r="R194" s="186"/>
    </row>
    <row r="195" spans="2:18" ht="12.75" hidden="1" customHeight="1">
      <c r="B195" s="186" t="s">
        <v>87</v>
      </c>
      <c r="C195" s="193">
        <v>-16436.915908000032</v>
      </c>
      <c r="D195" s="193">
        <v>-18566.686155000003</v>
      </c>
      <c r="E195" s="193">
        <v>-18224.836829999997</v>
      </c>
      <c r="F195" s="193">
        <v>-19705.76852300001</v>
      </c>
      <c r="G195" s="193">
        <v>-21212.300141999978</v>
      </c>
      <c r="H195" s="193">
        <v>-19448.817124000037</v>
      </c>
      <c r="I195" s="193">
        <v>-23885.549940999997</v>
      </c>
      <c r="J195" s="193">
        <v>-19519.380496000002</v>
      </c>
      <c r="K195" s="193">
        <v>-21057.190872999992</v>
      </c>
      <c r="L195" s="193">
        <v>-23539.697528000084</v>
      </c>
      <c r="M195" s="193"/>
      <c r="N195" s="193"/>
      <c r="O195" s="193"/>
      <c r="P195" s="193"/>
      <c r="Q195" s="193"/>
      <c r="R195" s="193"/>
    </row>
    <row r="196" spans="2:18" ht="12.75" hidden="1" customHeight="1">
      <c r="B196" s="194" t="s">
        <v>88</v>
      </c>
      <c r="C196" s="605">
        <v>7652.1807649999719</v>
      </c>
      <c r="D196" s="605">
        <v>7819.6164639999952</v>
      </c>
      <c r="E196" s="605">
        <v>7833.1293060000025</v>
      </c>
      <c r="F196" s="605">
        <v>7238.6151149999878</v>
      </c>
      <c r="G196" s="605">
        <v>5537.2376000000331</v>
      </c>
      <c r="H196" s="605">
        <v>12317.958623999966</v>
      </c>
      <c r="I196" s="605">
        <v>8065.2111389999964</v>
      </c>
      <c r="J196" s="605">
        <v>8143.5377630000039</v>
      </c>
      <c r="K196" s="605">
        <v>7370.2163660000006</v>
      </c>
      <c r="L196" s="605">
        <v>7015.5723789999211</v>
      </c>
      <c r="M196" s="605"/>
      <c r="N196" s="605"/>
      <c r="O196" s="605"/>
      <c r="P196" s="605"/>
      <c r="Q196" s="605"/>
      <c r="R196" s="605"/>
    </row>
    <row r="197" spans="2:18" ht="12.75" hidden="1" customHeight="1">
      <c r="B197" s="195" t="s">
        <v>89</v>
      </c>
      <c r="C197" s="200">
        <f t="shared" ref="C197:I197" si="24">+C196/C193</f>
        <v>0.31766159058910803</v>
      </c>
      <c r="D197" s="200">
        <f t="shared" si="24"/>
        <v>0.29635135232510068</v>
      </c>
      <c r="E197" s="200">
        <f t="shared" si="24"/>
        <v>0.30060401740941167</v>
      </c>
      <c r="F197" s="200">
        <f t="shared" si="24"/>
        <v>0.26865023940615507</v>
      </c>
      <c r="G197" s="200">
        <f t="shared" si="24"/>
        <v>0.20700311360169413</v>
      </c>
      <c r="H197" s="200">
        <f t="shared" si="24"/>
        <v>0.38776231877342759</v>
      </c>
      <c r="I197" s="200">
        <f t="shared" si="24"/>
        <v>0.25242626048268135</v>
      </c>
      <c r="J197" s="200">
        <f>+J196/J193</f>
        <v>0.2943846230088375</v>
      </c>
      <c r="K197" s="200">
        <v>0.25926445926059299</v>
      </c>
      <c r="L197" s="200">
        <v>0.25926445926059299</v>
      </c>
      <c r="M197" s="200"/>
      <c r="N197" s="200"/>
      <c r="O197" s="200"/>
      <c r="P197" s="200"/>
      <c r="Q197" s="200"/>
      <c r="R197" s="200"/>
    </row>
    <row r="198" spans="2:18" ht="12.75" hidden="1" customHeight="1">
      <c r="B198" s="195"/>
      <c r="C198" s="195"/>
      <c r="D198" s="195"/>
      <c r="E198" s="195"/>
      <c r="F198" s="195"/>
      <c r="G198" s="195"/>
      <c r="H198" s="195"/>
      <c r="I198" s="195"/>
      <c r="J198" s="195"/>
      <c r="K198" s="195"/>
      <c r="L198" s="195"/>
      <c r="M198" s="195"/>
      <c r="N198" s="195"/>
      <c r="O198" s="195"/>
      <c r="P198" s="195"/>
      <c r="Q198" s="195"/>
      <c r="R198" s="195"/>
    </row>
    <row r="199" spans="2:18" ht="12.75" hidden="1" customHeight="1">
      <c r="B199" s="190" t="s">
        <v>90</v>
      </c>
      <c r="C199" s="191">
        <v>25.397188000000028</v>
      </c>
      <c r="D199" s="191">
        <v>19.77427399999965</v>
      </c>
      <c r="E199" s="191">
        <v>204.21202</v>
      </c>
      <c r="F199" s="191">
        <v>19.486737000000005</v>
      </c>
      <c r="G199" s="191">
        <v>25.250034999999997</v>
      </c>
      <c r="H199" s="191">
        <v>3378.416424</v>
      </c>
      <c r="I199" s="191">
        <v>3396.122523</v>
      </c>
      <c r="J199" s="191">
        <v>195.35654100000011</v>
      </c>
      <c r="K199" s="191">
        <v>705.61852799999997</v>
      </c>
      <c r="L199" s="191">
        <v>79.591151000000536</v>
      </c>
      <c r="M199" s="191"/>
      <c r="N199" s="191"/>
      <c r="O199" s="191"/>
      <c r="P199" s="191"/>
      <c r="Q199" s="191"/>
      <c r="R199" s="191"/>
    </row>
    <row r="200" spans="2:18" ht="12.75" hidden="1" customHeight="1">
      <c r="B200" s="196" t="s">
        <v>91</v>
      </c>
      <c r="C200" s="191">
        <v>-569.28750400000081</v>
      </c>
      <c r="D200" s="191">
        <v>-1105.0608860000016</v>
      </c>
      <c r="E200" s="191">
        <v>-824.72531299999969</v>
      </c>
      <c r="F200" s="191">
        <v>-1677.8352900000002</v>
      </c>
      <c r="G200" s="191">
        <v>-250.47127300000011</v>
      </c>
      <c r="H200" s="191">
        <v>-609.70768700000053</v>
      </c>
      <c r="I200" s="191">
        <v>-940.64966000000004</v>
      </c>
      <c r="J200" s="191">
        <v>-1043.2648569999999</v>
      </c>
      <c r="K200" s="191">
        <v>-2043.5344600000001</v>
      </c>
      <c r="L200" s="191">
        <v>-658.49485800000093</v>
      </c>
      <c r="M200" s="191"/>
      <c r="N200" s="191"/>
      <c r="O200" s="191"/>
      <c r="P200" s="191"/>
      <c r="Q200" s="191"/>
      <c r="R200" s="191"/>
    </row>
    <row r="201" spans="2:18" ht="12.75" hidden="1" customHeight="1">
      <c r="B201" s="190" t="s">
        <v>92</v>
      </c>
      <c r="C201" s="191">
        <v>1294.381817</v>
      </c>
      <c r="D201" s="191">
        <v>827.66184199999998</v>
      </c>
      <c r="E201" s="191">
        <v>-5.2248000000000003E-2</v>
      </c>
      <c r="F201" s="191">
        <v>-116.588525</v>
      </c>
      <c r="G201" s="191">
        <v>-2.9431899999999871</v>
      </c>
      <c r="H201" s="191">
        <v>-557.75648500000011</v>
      </c>
      <c r="I201" s="191">
        <v>-205.93668099999999</v>
      </c>
      <c r="J201" s="191">
        <v>4.0766810000000078</v>
      </c>
      <c r="K201" s="191">
        <v>-74.193624000000028</v>
      </c>
      <c r="L201" s="191">
        <v>-449.94150999999999</v>
      </c>
      <c r="M201" s="191"/>
      <c r="N201" s="191"/>
      <c r="O201" s="191"/>
      <c r="P201" s="191"/>
      <c r="Q201" s="191"/>
      <c r="R201" s="191"/>
    </row>
    <row r="202" spans="2:18" ht="12.75" hidden="1" customHeight="1">
      <c r="B202" s="190" t="s">
        <v>393</v>
      </c>
      <c r="C202" s="191">
        <v>0</v>
      </c>
      <c r="D202" s="191">
        <v>0</v>
      </c>
      <c r="E202" s="191">
        <v>0</v>
      </c>
      <c r="F202" s="191">
        <v>187.46889100000001</v>
      </c>
      <c r="G202" s="191">
        <v>95.496670999999964</v>
      </c>
      <c r="H202" s="191">
        <v>630.04388300000005</v>
      </c>
      <c r="I202" s="191">
        <v>-0.55761100000000852</v>
      </c>
      <c r="J202" s="191">
        <v>0</v>
      </c>
      <c r="K202" s="191">
        <v>0</v>
      </c>
      <c r="L202" s="191">
        <v>0</v>
      </c>
      <c r="M202" s="191"/>
      <c r="N202" s="191"/>
      <c r="O202" s="191"/>
      <c r="P202" s="191"/>
      <c r="Q202" s="191"/>
      <c r="R202" s="191"/>
    </row>
    <row r="203" spans="2:18" ht="12.75" hidden="1" customHeight="1">
      <c r="B203" s="194" t="s">
        <v>93</v>
      </c>
      <c r="C203" s="605">
        <v>8402.6722659999705</v>
      </c>
      <c r="D203" s="605">
        <v>7561.991693999993</v>
      </c>
      <c r="E203" s="605">
        <v>7212.5637650000026</v>
      </c>
      <c r="F203" s="605">
        <v>5651.1469279999874</v>
      </c>
      <c r="G203" s="605">
        <v>5404.569843000033</v>
      </c>
      <c r="H203" s="605">
        <v>15158.954758999966</v>
      </c>
      <c r="I203" s="605">
        <v>10314.189709999995</v>
      </c>
      <c r="J203" s="605">
        <v>7299.7061280000053</v>
      </c>
      <c r="K203" s="605">
        <v>5958.1068100000002</v>
      </c>
      <c r="L203" s="605">
        <v>5986.727161999921</v>
      </c>
      <c r="M203" s="605"/>
      <c r="N203" s="605"/>
      <c r="O203" s="605"/>
      <c r="P203" s="605"/>
      <c r="Q203" s="605"/>
      <c r="R203" s="605"/>
    </row>
    <row r="204" spans="2:18" ht="12.75" hidden="1" customHeight="1">
      <c r="B204" s="197"/>
      <c r="C204" s="198"/>
      <c r="D204" s="198"/>
      <c r="E204" s="198"/>
      <c r="F204" s="198"/>
      <c r="G204" s="198"/>
      <c r="H204" s="198"/>
      <c r="I204" s="198"/>
      <c r="J204" s="198"/>
      <c r="K204" s="198"/>
      <c r="L204" s="198"/>
      <c r="M204" s="198"/>
      <c r="N204" s="198"/>
      <c r="O204" s="198"/>
      <c r="P204" s="198"/>
      <c r="Q204" s="198"/>
      <c r="R204" s="198"/>
    </row>
    <row r="205" spans="2:18" ht="12.75" hidden="1" customHeight="1">
      <c r="B205" s="196" t="s">
        <v>94</v>
      </c>
      <c r="C205" s="191">
        <v>243.11358999999993</v>
      </c>
      <c r="D205" s="191">
        <v>422.09123700000009</v>
      </c>
      <c r="E205" s="191">
        <v>379.43794400000002</v>
      </c>
      <c r="F205" s="191">
        <v>259.96793899999989</v>
      </c>
      <c r="G205" s="191">
        <v>274.03591200000005</v>
      </c>
      <c r="H205" s="191">
        <v>302.26661999999988</v>
      </c>
      <c r="I205" s="191">
        <v>138.10508400000003</v>
      </c>
      <c r="J205" s="191">
        <v>130.88093299999997</v>
      </c>
      <c r="K205" s="191">
        <v>142.24580000000003</v>
      </c>
      <c r="L205" s="191">
        <v>106.56682799999993</v>
      </c>
      <c r="M205" s="191"/>
      <c r="N205" s="191"/>
      <c r="O205" s="191"/>
      <c r="P205" s="191"/>
      <c r="Q205" s="191"/>
      <c r="R205" s="191"/>
    </row>
    <row r="206" spans="2:18" ht="12.75" hidden="1" customHeight="1">
      <c r="B206" s="196" t="s">
        <v>95</v>
      </c>
      <c r="C206" s="191">
        <v>-2083.1801139999998</v>
      </c>
      <c r="D206" s="191">
        <v>-642.36543999999981</v>
      </c>
      <c r="E206" s="191">
        <v>-641.68027000000006</v>
      </c>
      <c r="F206" s="191">
        <v>-604.27928199999997</v>
      </c>
      <c r="G206" s="191">
        <v>-584.06853999999998</v>
      </c>
      <c r="H206" s="191">
        <v>-514.0010229999998</v>
      </c>
      <c r="I206" s="191">
        <v>-224.03820200000001</v>
      </c>
      <c r="J206" s="191">
        <v>-264.93532599999998</v>
      </c>
      <c r="K206" s="191">
        <v>-430.17093699999998</v>
      </c>
      <c r="L206" s="191">
        <v>-487.07800000000009</v>
      </c>
      <c r="M206" s="191"/>
      <c r="N206" s="191"/>
      <c r="O206" s="191"/>
      <c r="P206" s="191"/>
      <c r="Q206" s="191"/>
      <c r="R206" s="191"/>
    </row>
    <row r="207" spans="2:18" ht="12.75" hidden="1" customHeight="1">
      <c r="B207" s="196" t="s">
        <v>242</v>
      </c>
      <c r="C207" s="191">
        <v>-8.6422100000000022</v>
      </c>
      <c r="D207" s="191">
        <v>-14.460283000000004</v>
      </c>
      <c r="E207" s="191">
        <v>11.016093999999999</v>
      </c>
      <c r="F207" s="191">
        <v>49.176852000000011</v>
      </c>
      <c r="G207" s="191">
        <v>-44.26286600000001</v>
      </c>
      <c r="H207" s="191">
        <v>88.259841999999992</v>
      </c>
      <c r="I207" s="191">
        <v>-188.88845100000003</v>
      </c>
      <c r="J207" s="191">
        <v>81.672666000000021</v>
      </c>
      <c r="K207" s="191">
        <v>-99.256989999999973</v>
      </c>
      <c r="L207" s="191">
        <v>108.38701600000002</v>
      </c>
      <c r="M207" s="191"/>
      <c r="N207" s="191"/>
      <c r="O207" s="191"/>
      <c r="P207" s="191"/>
      <c r="Q207" s="191"/>
      <c r="R207" s="191"/>
    </row>
    <row r="208" spans="2:18" ht="12.75" hidden="1" customHeight="1">
      <c r="B208" s="194" t="s">
        <v>96</v>
      </c>
      <c r="C208" s="605">
        <v>6553.9635319999697</v>
      </c>
      <c r="D208" s="605">
        <v>7327.2572079999936</v>
      </c>
      <c r="E208" s="605">
        <v>6961.3375330000035</v>
      </c>
      <c r="F208" s="605">
        <v>5356.0124369999876</v>
      </c>
      <c r="G208" s="605">
        <v>5050.274349000033</v>
      </c>
      <c r="H208" s="605">
        <v>15035.480197999965</v>
      </c>
      <c r="I208" s="605">
        <v>10039.368140999995</v>
      </c>
      <c r="J208" s="605">
        <v>7247.3244010000062</v>
      </c>
      <c r="K208" s="605">
        <v>5570.9246830000002</v>
      </c>
      <c r="L208" s="605">
        <v>5714.6030059999202</v>
      </c>
      <c r="M208" s="605"/>
      <c r="N208" s="605"/>
      <c r="O208" s="605"/>
      <c r="P208" s="605"/>
      <c r="Q208" s="605"/>
      <c r="R208" s="605"/>
    </row>
    <row r="209" spans="2:18" ht="12.75" hidden="1" customHeight="1">
      <c r="B209" s="43" t="s">
        <v>243</v>
      </c>
      <c r="C209" s="191">
        <v>-392.04250199999996</v>
      </c>
      <c r="D209" s="191">
        <v>54.971648000000016</v>
      </c>
      <c r="E209" s="191">
        <v>837.87750200000005</v>
      </c>
      <c r="F209" s="191">
        <v>-88.303199000000063</v>
      </c>
      <c r="G209" s="191">
        <v>228.29542100000003</v>
      </c>
      <c r="H209" s="191">
        <v>93.035217999999873</v>
      </c>
      <c r="I209" s="191">
        <v>68.474297000000007</v>
      </c>
      <c r="J209" s="191">
        <v>-4845.4051949999994</v>
      </c>
      <c r="K209" s="191">
        <v>175.09021000000001</v>
      </c>
      <c r="L209" s="191">
        <v>-77.627419000000032</v>
      </c>
      <c r="M209" s="191"/>
      <c r="N209" s="191"/>
      <c r="O209" s="191"/>
      <c r="P209" s="191"/>
      <c r="Q209" s="191"/>
      <c r="R209" s="191"/>
    </row>
    <row r="210" spans="2:18" ht="12.75" hidden="1" customHeight="1">
      <c r="B210" s="196" t="s">
        <v>394</v>
      </c>
      <c r="C210" s="191">
        <v>-3016.6742410000006</v>
      </c>
      <c r="D210" s="191">
        <v>-2552.4689379999991</v>
      </c>
      <c r="E210" s="191">
        <v>-2420.1610000000001</v>
      </c>
      <c r="F210" s="191">
        <v>-1537.3040919999999</v>
      </c>
      <c r="G210" s="191">
        <v>-1533.8382790000001</v>
      </c>
      <c r="H210" s="191">
        <v>-3919.7795729999998</v>
      </c>
      <c r="I210" s="191">
        <v>-3295.2637479999999</v>
      </c>
      <c r="J210" s="191">
        <v>3501.092369</v>
      </c>
      <c r="K210" s="191">
        <v>-1981.8011970000007</v>
      </c>
      <c r="L210" s="191">
        <v>-2182.512882</v>
      </c>
      <c r="M210" s="191"/>
      <c r="N210" s="191"/>
      <c r="O210" s="191"/>
      <c r="P210" s="191"/>
      <c r="Q210" s="191"/>
      <c r="R210" s="191"/>
    </row>
    <row r="211" spans="2:18" ht="12.75" hidden="1" customHeight="1">
      <c r="B211" s="199" t="s">
        <v>97</v>
      </c>
      <c r="C211" s="605">
        <v>3145.2467889999689</v>
      </c>
      <c r="D211" s="605">
        <v>4829.7599179999943</v>
      </c>
      <c r="E211" s="605">
        <v>5379.0540350000028</v>
      </c>
      <c r="F211" s="605">
        <v>3730.4051459999882</v>
      </c>
      <c r="G211" s="605">
        <v>3744.7314910000337</v>
      </c>
      <c r="H211" s="605">
        <v>11208.735842999966</v>
      </c>
      <c r="I211" s="605">
        <v>6812.5786899999957</v>
      </c>
      <c r="J211" s="605">
        <v>5903.0115750000059</v>
      </c>
      <c r="K211" s="605">
        <v>3764.2136959999998</v>
      </c>
      <c r="L211" s="605">
        <v>3454.4627049999199</v>
      </c>
      <c r="M211" s="605"/>
      <c r="N211" s="605"/>
      <c r="O211" s="605"/>
      <c r="P211" s="605"/>
      <c r="Q211" s="605"/>
      <c r="R211" s="605"/>
    </row>
    <row r="212" spans="2:18" ht="12.75" hidden="1" customHeight="1">
      <c r="B212" s="195" t="s">
        <v>395</v>
      </c>
      <c r="C212" s="200">
        <f t="shared" ref="C212:I212" si="25">+C211/C193</f>
        <v>0.13056723677502127</v>
      </c>
      <c r="D212" s="200">
        <f t="shared" si="25"/>
        <v>0.18304042016565925</v>
      </c>
      <c r="E212" s="200">
        <f t="shared" si="25"/>
        <v>0.20642647269268843</v>
      </c>
      <c r="F212" s="200">
        <f t="shared" si="25"/>
        <v>0.13844833847818852</v>
      </c>
      <c r="G212" s="200">
        <f t="shared" si="25"/>
        <v>0.13999238144292683</v>
      </c>
      <c r="H212" s="200">
        <f t="shared" si="25"/>
        <v>0.35284461765703917</v>
      </c>
      <c r="I212" s="200">
        <f t="shared" si="25"/>
        <v>0.21322117094307402</v>
      </c>
      <c r="J212" s="200">
        <f>+J211/J193</f>
        <v>0.21339077532355025</v>
      </c>
      <c r="K212" s="200">
        <f>+K211/K193</f>
        <v>0.13241494957147615</v>
      </c>
      <c r="L212" s="200">
        <f>+L211/L193</f>
        <v>0.11305619997840458</v>
      </c>
      <c r="M212" s="200"/>
      <c r="N212" s="200"/>
      <c r="O212" s="200"/>
      <c r="P212" s="200"/>
      <c r="Q212" s="200"/>
      <c r="R212" s="200"/>
    </row>
    <row r="213" spans="2:18" ht="12.75" hidden="1" customHeight="1">
      <c r="B213" s="92"/>
      <c r="C213" s="173"/>
      <c r="D213" s="173"/>
      <c r="E213" s="173"/>
      <c r="F213" s="173"/>
      <c r="G213" s="173"/>
      <c r="H213" s="173"/>
      <c r="I213" s="173"/>
      <c r="J213" s="173"/>
      <c r="K213" s="173"/>
      <c r="L213" s="173"/>
      <c r="M213" s="173"/>
      <c r="N213" s="173"/>
      <c r="O213" s="173"/>
      <c r="P213" s="173"/>
      <c r="Q213" s="173"/>
      <c r="R213" s="173"/>
    </row>
    <row r="214" spans="2:18" ht="12.75" hidden="1" customHeight="1">
      <c r="B214" s="104" t="s">
        <v>98</v>
      </c>
      <c r="C214" s="201"/>
      <c r="D214" s="201"/>
      <c r="E214" s="201"/>
      <c r="F214" s="201"/>
      <c r="G214" s="201"/>
      <c r="H214" s="201"/>
      <c r="I214" s="201"/>
      <c r="J214" s="201"/>
      <c r="K214" s="201"/>
      <c r="L214" s="201"/>
      <c r="M214" s="201"/>
      <c r="N214" s="201"/>
      <c r="O214" s="201"/>
      <c r="P214" s="201"/>
      <c r="Q214" s="201"/>
      <c r="R214" s="201"/>
    </row>
    <row r="215" spans="2:18" ht="12.75" hidden="1" customHeight="1">
      <c r="B215" s="202" t="s">
        <v>99</v>
      </c>
      <c r="C215" s="191">
        <v>3145.2467889999716</v>
      </c>
      <c r="D215" s="191">
        <v>4829.7599179999743</v>
      </c>
      <c r="E215" s="191">
        <v>5379.0540350000065</v>
      </c>
      <c r="F215" s="191">
        <v>3730.4051459999882</v>
      </c>
      <c r="G215" s="191">
        <v>3744.7314910000332</v>
      </c>
      <c r="H215" s="191">
        <v>11208.735842999964</v>
      </c>
      <c r="I215" s="191">
        <v>6812.5786899999957</v>
      </c>
      <c r="J215" s="191">
        <v>5903.0115750000105</v>
      </c>
      <c r="K215" s="191">
        <v>3764.2136959999989</v>
      </c>
      <c r="L215" s="191">
        <v>3454.4627049999035</v>
      </c>
      <c r="M215" s="191"/>
      <c r="N215" s="191"/>
      <c r="O215" s="191"/>
      <c r="P215" s="191"/>
      <c r="Q215" s="191"/>
      <c r="R215" s="191"/>
    </row>
    <row r="216" spans="2:18" ht="12.75" hidden="1" customHeight="1">
      <c r="B216" s="202" t="s">
        <v>100</v>
      </c>
      <c r="C216" s="191">
        <v>0</v>
      </c>
      <c r="D216" s="191">
        <v>0</v>
      </c>
      <c r="E216" s="191">
        <v>0</v>
      </c>
      <c r="F216" s="191">
        <v>0</v>
      </c>
      <c r="G216" s="191">
        <v>0</v>
      </c>
      <c r="H216" s="191">
        <v>0</v>
      </c>
      <c r="I216" s="191">
        <v>0</v>
      </c>
      <c r="J216" s="191">
        <v>0</v>
      </c>
      <c r="K216" s="191">
        <v>0</v>
      </c>
      <c r="L216" s="191">
        <v>0</v>
      </c>
      <c r="M216" s="191"/>
      <c r="N216" s="191"/>
      <c r="O216" s="191"/>
      <c r="P216" s="191"/>
      <c r="Q216" s="191"/>
      <c r="R216" s="191"/>
    </row>
    <row r="217" spans="2:18" ht="12.75" hidden="1" customHeight="1">
      <c r="B217" s="199" t="s">
        <v>101</v>
      </c>
      <c r="C217" s="605">
        <v>3145.2467889999716</v>
      </c>
      <c r="D217" s="605">
        <v>4829.7599179999743</v>
      </c>
      <c r="E217" s="605">
        <v>5379.0540350000065</v>
      </c>
      <c r="F217" s="605">
        <v>3730.4051459999882</v>
      </c>
      <c r="G217" s="605">
        <v>3744.7314910000332</v>
      </c>
      <c r="H217" s="605">
        <v>11208.735842999964</v>
      </c>
      <c r="I217" s="605">
        <v>6812.5786899999957</v>
      </c>
      <c r="J217" s="605">
        <v>5903.0115750000105</v>
      </c>
      <c r="K217" s="605">
        <v>3764.2136959999989</v>
      </c>
      <c r="L217" s="605">
        <v>3454.4627049999035</v>
      </c>
      <c r="M217" s="605"/>
      <c r="N217" s="605"/>
      <c r="O217" s="605"/>
      <c r="P217" s="605"/>
      <c r="Q217" s="605"/>
      <c r="R217" s="605"/>
    </row>
    <row r="218" spans="2:18" ht="12.75" hidden="1" customHeight="1">
      <c r="B218" s="92"/>
      <c r="C218" s="92"/>
      <c r="D218" s="92"/>
      <c r="E218" s="92"/>
      <c r="F218" s="92"/>
      <c r="G218" s="92"/>
      <c r="H218" s="92"/>
      <c r="I218" s="92"/>
      <c r="J218" s="92"/>
      <c r="K218" s="92"/>
      <c r="L218" s="92"/>
      <c r="M218" s="92"/>
      <c r="N218" s="92"/>
      <c r="O218" s="92"/>
      <c r="P218" s="92"/>
      <c r="Q218" s="92"/>
      <c r="R218" s="92"/>
    </row>
    <row r="219" spans="2:18" ht="12.75" hidden="1" customHeight="1">
      <c r="B219" s="203" t="s">
        <v>24</v>
      </c>
      <c r="C219" s="606">
        <v>8044.2326689999709</v>
      </c>
      <c r="D219" s="606">
        <v>7726.8320489999942</v>
      </c>
      <c r="E219" s="606">
        <v>8081.0701520000021</v>
      </c>
      <c r="F219" s="606">
        <v>6823.7886799999878</v>
      </c>
      <c r="G219" s="606">
        <v>6483.6078670000334</v>
      </c>
      <c r="H219" s="606">
        <v>12915.161808999965</v>
      </c>
      <c r="I219" s="606">
        <v>8339.5926229999968</v>
      </c>
      <c r="J219" s="606">
        <v>8453.7885580000038</v>
      </c>
      <c r="K219" s="606">
        <v>6689.7565980000018</v>
      </c>
      <c r="L219" s="606">
        <v>7766.0626879999199</v>
      </c>
      <c r="M219" s="606"/>
      <c r="N219" s="606"/>
      <c r="O219" s="606"/>
      <c r="P219" s="606"/>
      <c r="Q219" s="606"/>
      <c r="R219" s="606"/>
    </row>
    <row r="220" spans="2:18" ht="12.75" hidden="1" customHeight="1">
      <c r="B220" s="204" t="s">
        <v>25</v>
      </c>
      <c r="C220" s="607">
        <f t="shared" ref="C220:I220" si="26">+C219/C193</f>
        <v>0.33393666762175683</v>
      </c>
      <c r="D220" s="607">
        <f t="shared" si="26"/>
        <v>0.29283496670867903</v>
      </c>
      <c r="E220" s="607">
        <f t="shared" si="26"/>
        <v>0.31011899047776104</v>
      </c>
      <c r="F220" s="607">
        <f t="shared" si="26"/>
        <v>0.25325458439421544</v>
      </c>
      <c r="G220" s="607">
        <f t="shared" si="26"/>
        <v>0.24238205271188609</v>
      </c>
      <c r="H220" s="607">
        <f t="shared" si="26"/>
        <v>0.40656193475389418</v>
      </c>
      <c r="I220" s="607">
        <f t="shared" si="26"/>
        <v>0.26101389579168038</v>
      </c>
      <c r="J220" s="607">
        <f>+J219/J193</f>
        <v>0.30560002668010638</v>
      </c>
      <c r="K220" s="607">
        <v>0.23532770828365321</v>
      </c>
      <c r="L220" s="607">
        <v>0.25416442766295994</v>
      </c>
      <c r="M220" s="607"/>
      <c r="N220" s="607"/>
      <c r="O220" s="607"/>
      <c r="P220" s="607"/>
      <c r="Q220" s="607"/>
      <c r="R220" s="607"/>
    </row>
    <row r="221" spans="2:18" ht="12.75" hidden="1" customHeight="1">
      <c r="B221" s="186"/>
      <c r="C221" s="186"/>
      <c r="D221" s="186"/>
      <c r="E221" s="186"/>
      <c r="F221" s="186"/>
      <c r="G221" s="186"/>
      <c r="H221" s="186"/>
      <c r="I221" s="186"/>
      <c r="J221" s="186"/>
      <c r="K221" s="186"/>
      <c r="L221" s="186"/>
      <c r="M221" s="186"/>
      <c r="N221" s="186"/>
      <c r="O221" s="186"/>
      <c r="P221" s="186"/>
      <c r="Q221" s="186"/>
      <c r="R221" s="186"/>
    </row>
    <row r="222" spans="2:18" ht="12.75" hidden="1" customHeight="1">
      <c r="B222" s="186"/>
      <c r="C222" s="186"/>
      <c r="D222" s="186"/>
      <c r="E222" s="186"/>
      <c r="F222" s="186"/>
      <c r="G222" s="186"/>
      <c r="H222" s="186"/>
      <c r="I222" s="186"/>
      <c r="J222" s="186"/>
      <c r="K222" s="186"/>
      <c r="L222" s="186"/>
      <c r="M222" s="186"/>
      <c r="N222" s="186"/>
      <c r="O222" s="186"/>
      <c r="P222" s="186"/>
      <c r="Q222" s="186"/>
      <c r="R222" s="186"/>
    </row>
    <row r="223" spans="2:18" ht="12.75" hidden="1" customHeight="1">
      <c r="B223" s="202" t="s">
        <v>410</v>
      </c>
      <c r="C223" s="191">
        <v>961.33940800000005</v>
      </c>
      <c r="D223" s="191">
        <v>1012.2764710000001</v>
      </c>
      <c r="E223" s="191">
        <v>1072.6661590000001</v>
      </c>
      <c r="F223" s="191">
        <v>1263.0088550000003</v>
      </c>
      <c r="G223" s="191">
        <v>1196.8415399999999</v>
      </c>
      <c r="H223" s="191">
        <v>1206.910871999999</v>
      </c>
      <c r="I223" s="191">
        <v>1215.031144</v>
      </c>
      <c r="J223" s="191">
        <v>1353.5156519999996</v>
      </c>
      <c r="K223" s="191">
        <v>1363.0746920000006</v>
      </c>
      <c r="L223" s="191">
        <v>1408.9851669999994</v>
      </c>
      <c r="M223" s="191"/>
      <c r="N223" s="191"/>
      <c r="O223" s="191"/>
      <c r="P223" s="191"/>
      <c r="Q223" s="191"/>
      <c r="R223" s="191"/>
    </row>
    <row r="224" spans="2:18" ht="12.75" customHeight="1">
      <c r="B224" s="603"/>
      <c r="C224" s="609"/>
      <c r="D224" s="223"/>
      <c r="E224" s="223"/>
      <c r="F224" s="223"/>
      <c r="G224" s="223"/>
      <c r="H224" s="223"/>
      <c r="I224" s="223"/>
      <c r="J224" s="223"/>
      <c r="K224" s="223"/>
      <c r="L224" s="223"/>
      <c r="M224" s="223"/>
      <c r="N224" s="223"/>
      <c r="O224" s="223"/>
      <c r="P224" s="223"/>
      <c r="Q224" s="223"/>
      <c r="R224" s="223"/>
    </row>
    <row r="225" spans="2:18" ht="12.75" customHeight="1">
      <c r="B225" s="603" t="s">
        <v>613</v>
      </c>
      <c r="C225" s="609"/>
      <c r="D225" s="223"/>
      <c r="E225" s="223"/>
      <c r="F225" s="223"/>
      <c r="G225" s="223"/>
      <c r="H225" s="223"/>
      <c r="I225" s="223"/>
      <c r="J225" s="223"/>
      <c r="K225" s="223"/>
      <c r="L225" s="223"/>
      <c r="M225" s="223"/>
      <c r="N225" s="223"/>
      <c r="O225" s="223"/>
      <c r="P225" s="223"/>
      <c r="Q225" s="223"/>
      <c r="R225" s="223"/>
    </row>
    <row r="226" spans="2:18" ht="12.75" customHeight="1">
      <c r="B226" s="603" t="s">
        <v>77</v>
      </c>
      <c r="C226" s="205"/>
      <c r="D226" s="205"/>
      <c r="E226" s="205"/>
      <c r="F226" s="205"/>
      <c r="G226" s="205"/>
      <c r="H226" s="205"/>
      <c r="I226" s="205"/>
      <c r="J226" s="205"/>
      <c r="K226" s="205"/>
      <c r="L226" s="205"/>
      <c r="M226" s="205"/>
      <c r="N226" s="205"/>
      <c r="O226" s="205"/>
      <c r="P226" s="205"/>
      <c r="Q226" s="205"/>
      <c r="R226" s="205"/>
    </row>
    <row r="227" spans="2:18" ht="12.75" customHeight="1">
      <c r="B227" s="603" t="s">
        <v>401</v>
      </c>
      <c r="C227" s="609"/>
      <c r="D227" s="223"/>
      <c r="E227" s="223"/>
      <c r="F227" s="223"/>
      <c r="G227" s="223"/>
      <c r="H227" s="223"/>
      <c r="I227" s="223"/>
      <c r="J227" s="223"/>
      <c r="K227" s="223"/>
      <c r="L227" s="223"/>
      <c r="M227" s="223"/>
      <c r="N227" s="223"/>
      <c r="O227" s="223"/>
      <c r="P227" s="223"/>
      <c r="Q227" s="223"/>
      <c r="R227" s="223"/>
    </row>
    <row r="228" spans="2:18" ht="12.75" customHeight="1">
      <c r="B228" s="207"/>
      <c r="C228" s="209"/>
      <c r="D228" s="208"/>
      <c r="E228" s="208"/>
      <c r="F228" s="208"/>
      <c r="G228" s="208"/>
      <c r="H228" s="208"/>
      <c r="I228" s="208"/>
      <c r="J228" s="208"/>
      <c r="K228" s="208"/>
      <c r="L228" s="208"/>
      <c r="M228" s="208"/>
      <c r="N228" s="208"/>
      <c r="O228" s="208"/>
      <c r="P228" s="208"/>
      <c r="Q228" s="208"/>
      <c r="R228" s="208"/>
    </row>
    <row r="229" spans="2:18" ht="12.75" customHeight="1">
      <c r="B229" s="210"/>
      <c r="C229" s="189" t="str">
        <f>+$C$7</f>
        <v>4T 2017</v>
      </c>
      <c r="D229" s="189" t="str">
        <f>+$D$7</f>
        <v>4T 2018</v>
      </c>
      <c r="E229" s="189" t="str">
        <f t="shared" ref="E229:R229" si="27">+E$7</f>
        <v>1T2019</v>
      </c>
      <c r="F229" s="189" t="str">
        <f t="shared" si="27"/>
        <v>2T2019</v>
      </c>
      <c r="G229" s="189" t="str">
        <f t="shared" si="27"/>
        <v>3T2019</v>
      </c>
      <c r="H229" s="189" t="str">
        <f t="shared" si="27"/>
        <v>4T2019</v>
      </c>
      <c r="I229" s="189" t="str">
        <f t="shared" si="27"/>
        <v>1T20</v>
      </c>
      <c r="J229" s="189" t="str">
        <f t="shared" si="27"/>
        <v>2T20</v>
      </c>
      <c r="K229" s="189" t="str">
        <f t="shared" si="27"/>
        <v>3T20</v>
      </c>
      <c r="L229" s="189" t="str">
        <f t="shared" si="27"/>
        <v>4T20</v>
      </c>
      <c r="M229" s="189" t="str">
        <f t="shared" si="27"/>
        <v>1T21</v>
      </c>
      <c r="N229" s="189" t="str">
        <f t="shared" si="27"/>
        <v>2T21</v>
      </c>
      <c r="O229" s="189" t="str">
        <f t="shared" si="27"/>
        <v>3T21</v>
      </c>
      <c r="P229" s="189" t="str">
        <f t="shared" si="27"/>
        <v>4T21</v>
      </c>
      <c r="Q229" s="189" t="s">
        <v>919</v>
      </c>
      <c r="R229" s="189" t="str">
        <f t="shared" si="27"/>
        <v>2T22</v>
      </c>
    </row>
    <row r="230" spans="2:18" ht="12.75" customHeight="1">
      <c r="B230" s="211"/>
      <c r="C230" s="14"/>
      <c r="D230" s="14"/>
      <c r="E230" s="14"/>
      <c r="F230" s="14"/>
      <c r="G230" s="14"/>
      <c r="H230" s="14"/>
      <c r="I230" s="14"/>
      <c r="J230" s="14"/>
      <c r="K230" s="14"/>
      <c r="L230" s="14"/>
      <c r="M230" s="14"/>
      <c r="N230" s="14"/>
      <c r="O230" s="14"/>
      <c r="P230" s="14"/>
      <c r="Q230" s="14"/>
      <c r="R230" s="14"/>
    </row>
    <row r="231" spans="2:18" ht="12.75" customHeight="1">
      <c r="B231" s="212" t="s">
        <v>81</v>
      </c>
      <c r="C231" s="610">
        <v>58.989283689999951</v>
      </c>
      <c r="D231" s="610">
        <v>44.95131557000002</v>
      </c>
      <c r="E231" s="610">
        <v>49.193157110000001</v>
      </c>
      <c r="F231" s="610">
        <v>47.114783849999966</v>
      </c>
      <c r="G231" s="610">
        <v>48.092492840000062</v>
      </c>
      <c r="H231" s="610">
        <v>44.595750689999932</v>
      </c>
      <c r="I231" s="610">
        <v>42.069839009999995</v>
      </c>
      <c r="J231" s="610">
        <v>22.267623060000005</v>
      </c>
      <c r="K231" s="610">
        <v>24.25643273</v>
      </c>
      <c r="L231" s="610">
        <v>25.198781240000002</v>
      </c>
      <c r="M231" s="610">
        <v>32.880674560000003</v>
      </c>
      <c r="N231" s="610">
        <v>29.563205000000011</v>
      </c>
      <c r="O231" s="610">
        <v>29.888885200000004</v>
      </c>
      <c r="P231" s="610">
        <v>33.536381489999968</v>
      </c>
      <c r="Q231" s="610">
        <v>44.743580219999998</v>
      </c>
      <c r="R231" s="610">
        <v>32.880175120000004</v>
      </c>
    </row>
    <row r="232" spans="2:18" ht="12.75" customHeight="1">
      <c r="B232" s="212" t="s">
        <v>82</v>
      </c>
      <c r="C232" s="14">
        <v>0</v>
      </c>
      <c r="D232" s="14">
        <v>0</v>
      </c>
      <c r="E232" s="611">
        <v>0.46117692000000005</v>
      </c>
      <c r="F232" s="611">
        <v>0.56268257000000022</v>
      </c>
      <c r="G232" s="611">
        <v>-3.7692070000000077E-2</v>
      </c>
      <c r="H232" s="611">
        <v>2.0844929999999984E-2</v>
      </c>
      <c r="I232" s="611">
        <v>0.10926953</v>
      </c>
      <c r="J232" s="611">
        <v>0.26245043999999995</v>
      </c>
      <c r="K232" s="611">
        <v>0.61786472999999997</v>
      </c>
      <c r="L232" s="611">
        <v>0.54407913999999979</v>
      </c>
      <c r="M232" s="611">
        <v>0.69686488999999985</v>
      </c>
      <c r="N232" s="611">
        <v>0.67479109999999998</v>
      </c>
      <c r="O232" s="611">
        <v>0.85695843999999965</v>
      </c>
      <c r="P232" s="611">
        <v>0.90189055000000051</v>
      </c>
      <c r="Q232" s="611">
        <v>0.84327700000000017</v>
      </c>
      <c r="R232" s="611">
        <v>0.69281738000000004</v>
      </c>
    </row>
    <row r="233" spans="2:18" ht="12.75" customHeight="1">
      <c r="B233" s="212" t="s">
        <v>83</v>
      </c>
      <c r="C233" s="14">
        <v>0</v>
      </c>
      <c r="D233" s="14">
        <v>0</v>
      </c>
      <c r="E233" s="14">
        <v>0</v>
      </c>
      <c r="F233" s="14">
        <v>0</v>
      </c>
      <c r="G233" s="14">
        <v>0</v>
      </c>
      <c r="H233" s="14">
        <v>0</v>
      </c>
      <c r="I233" s="14">
        <v>0</v>
      </c>
      <c r="J233" s="14">
        <v>0</v>
      </c>
      <c r="K233" s="14">
        <v>0</v>
      </c>
      <c r="L233" s="14">
        <v>0</v>
      </c>
      <c r="M233" s="14">
        <v>0</v>
      </c>
      <c r="N233" s="14">
        <v>0</v>
      </c>
      <c r="O233" s="14">
        <v>0</v>
      </c>
      <c r="P233" s="14">
        <v>0</v>
      </c>
      <c r="Q233" s="14">
        <v>0</v>
      </c>
      <c r="R233" s="14">
        <v>0</v>
      </c>
    </row>
    <row r="234" spans="2:18" ht="12.75" customHeight="1">
      <c r="B234" s="212" t="s">
        <v>84</v>
      </c>
      <c r="C234" s="14">
        <v>0</v>
      </c>
      <c r="D234" s="14">
        <v>0</v>
      </c>
      <c r="E234" s="14">
        <v>0</v>
      </c>
      <c r="F234" s="14">
        <v>0</v>
      </c>
      <c r="G234" s="14">
        <v>0</v>
      </c>
      <c r="H234" s="14">
        <v>0</v>
      </c>
      <c r="I234" s="14">
        <v>0</v>
      </c>
      <c r="J234" s="14">
        <v>0</v>
      </c>
      <c r="K234" s="14">
        <v>0</v>
      </c>
      <c r="L234" s="14">
        <v>0</v>
      </c>
      <c r="M234" s="14">
        <v>0</v>
      </c>
      <c r="N234" s="14">
        <v>0</v>
      </c>
      <c r="O234" s="14">
        <v>0</v>
      </c>
      <c r="P234" s="14">
        <v>0</v>
      </c>
      <c r="Q234" s="14">
        <v>0</v>
      </c>
      <c r="R234" s="14">
        <v>0</v>
      </c>
    </row>
    <row r="235" spans="2:18" ht="12.75" customHeight="1">
      <c r="B235" s="212" t="s">
        <v>85</v>
      </c>
      <c r="C235" s="610">
        <v>0.35535573999999648</v>
      </c>
      <c r="D235" s="610">
        <v>0.28455334999999593</v>
      </c>
      <c r="E235" s="610">
        <v>0.38228129999999982</v>
      </c>
      <c r="F235" s="610">
        <v>0.22127116000000102</v>
      </c>
      <c r="G235" s="610">
        <v>0.21285498999999841</v>
      </c>
      <c r="H235" s="610">
        <v>0.32887910000000342</v>
      </c>
      <c r="I235" s="610">
        <v>0.33690961999999919</v>
      </c>
      <c r="J235" s="610">
        <v>0.27976742000000127</v>
      </c>
      <c r="K235" s="610">
        <v>0.21132843000000212</v>
      </c>
      <c r="L235" s="610">
        <v>0.73514062999999696</v>
      </c>
      <c r="M235" s="610">
        <v>0.72915758000000008</v>
      </c>
      <c r="N235" s="610">
        <v>1.6217995999999986</v>
      </c>
      <c r="O235" s="610">
        <v>0.23721556000000099</v>
      </c>
      <c r="P235" s="610">
        <v>9.585010000000338E-3</v>
      </c>
      <c r="Q235" s="610">
        <v>0.28093154000000004</v>
      </c>
      <c r="R235" s="610">
        <v>0.18975379999999992</v>
      </c>
    </row>
    <row r="236" spans="2:18" ht="12.75" customHeight="1">
      <c r="B236" s="206" t="s">
        <v>86</v>
      </c>
      <c r="C236" s="213">
        <v>59.344639429999944</v>
      </c>
      <c r="D236" s="213">
        <v>45.235868920000016</v>
      </c>
      <c r="E236" s="213">
        <v>50.036615330000004</v>
      </c>
      <c r="F236" s="213">
        <v>47.986055009999959</v>
      </c>
      <c r="G236" s="213">
        <v>48.267655760000061</v>
      </c>
      <c r="H236" s="213">
        <v>44.945474719999936</v>
      </c>
      <c r="I236" s="213">
        <v>42.516018159999994</v>
      </c>
      <c r="J236" s="213">
        <v>22.809840920000006</v>
      </c>
      <c r="K236" s="213">
        <v>25.085625890000003</v>
      </c>
      <c r="L236" s="213">
        <v>26.47800101</v>
      </c>
      <c r="M236" s="213">
        <v>34.306697030000002</v>
      </c>
      <c r="N236" s="213">
        <f>SUM(N231:N235)</f>
        <v>31.85979570000001</v>
      </c>
      <c r="O236" s="213">
        <f>SUM(O231:O235)</f>
        <v>30.983059200000007</v>
      </c>
      <c r="P236" s="213">
        <v>34.447857049999968</v>
      </c>
      <c r="Q236" s="213">
        <f>+SUM(Q231:Q235)</f>
        <v>45.867788759999996</v>
      </c>
      <c r="R236" s="213">
        <f>+SUM(R231:R235)</f>
        <v>33.762746300000003</v>
      </c>
    </row>
    <row r="237" spans="2:18" ht="12.75" customHeight="1">
      <c r="B237" s="206"/>
      <c r="C237" s="14"/>
      <c r="D237" s="14"/>
      <c r="E237" s="14"/>
      <c r="F237" s="14"/>
      <c r="G237" s="14"/>
      <c r="H237" s="14"/>
      <c r="I237" s="14"/>
      <c r="J237" s="14"/>
      <c r="K237" s="14"/>
      <c r="L237" s="14"/>
      <c r="M237" s="14"/>
      <c r="N237" s="14"/>
      <c r="O237" s="14"/>
      <c r="P237" s="14"/>
      <c r="Q237" s="14"/>
      <c r="R237" s="14"/>
    </row>
    <row r="238" spans="2:18" ht="12.75" customHeight="1">
      <c r="B238" s="206" t="s">
        <v>87</v>
      </c>
      <c r="C238" s="610">
        <v>-42.450221160000069</v>
      </c>
      <c r="D238" s="610">
        <v>-33.661548740000029</v>
      </c>
      <c r="E238" s="610">
        <v>-43.039474317212203</v>
      </c>
      <c r="F238" s="610">
        <v>-44.352953529501981</v>
      </c>
      <c r="G238" s="610">
        <v>-41.967038533167369</v>
      </c>
      <c r="H238" s="610">
        <v>-39.59544507575751</v>
      </c>
      <c r="I238" s="610">
        <v>-36.684753124285713</v>
      </c>
      <c r="J238" s="610">
        <v>-17.252927940104016</v>
      </c>
      <c r="K238" s="610">
        <v>-16.350311668665533</v>
      </c>
      <c r="L238" s="610">
        <v>-17.337652508836655</v>
      </c>
      <c r="M238" s="610">
        <v>-24.9451516038771</v>
      </c>
      <c r="N238" s="610">
        <v>-21.9212623261229</v>
      </c>
      <c r="O238" s="610">
        <v>-18.23187429</v>
      </c>
      <c r="P238" s="610">
        <v>-25.41297981999999</v>
      </c>
      <c r="Q238" s="610">
        <v>-40.190515240000018</v>
      </c>
      <c r="R238" s="610">
        <v>-21.970591869999957</v>
      </c>
    </row>
    <row r="239" spans="2:18" ht="12.75" customHeight="1">
      <c r="B239" s="214" t="s">
        <v>88</v>
      </c>
      <c r="C239" s="215">
        <v>16.894418269999875</v>
      </c>
      <c r="D239" s="215">
        <v>11.574320179999987</v>
      </c>
      <c r="E239" s="215">
        <v>6.9971410127877967</v>
      </c>
      <c r="F239" s="215">
        <v>3.6331014804979791</v>
      </c>
      <c r="G239" s="215">
        <v>6.146195486832692</v>
      </c>
      <c r="H239" s="215">
        <v>5.3500296442424276</v>
      </c>
      <c r="I239" s="215">
        <v>5.8312650357142815</v>
      </c>
      <c r="J239" s="215">
        <v>5.5569129798959906</v>
      </c>
      <c r="K239" s="215">
        <v>8.7353142213344679</v>
      </c>
      <c r="L239" s="215">
        <v>9.140348501163345</v>
      </c>
      <c r="M239" s="215">
        <v>9.3615454261229036</v>
      </c>
      <c r="N239" s="215">
        <f>+N236+N238</f>
        <v>9.9385333738771102</v>
      </c>
      <c r="O239" s="215">
        <f>+O236+O238</f>
        <v>12.751184910000006</v>
      </c>
      <c r="P239" s="215">
        <v>9.034877229999978</v>
      </c>
      <c r="Q239" s="215">
        <f>+Q236+Q238</f>
        <v>5.6772735199999786</v>
      </c>
      <c r="R239" s="215">
        <f>+R236+R238</f>
        <v>11.792154430000046</v>
      </c>
    </row>
    <row r="240" spans="2:18" ht="12.75" customHeight="1">
      <c r="B240" s="216" t="s">
        <v>89</v>
      </c>
      <c r="C240" s="217">
        <f t="shared" ref="C240:I240" si="28">+C239/C236</f>
        <v>0.2846831395770415</v>
      </c>
      <c r="D240" s="217">
        <f t="shared" si="28"/>
        <v>0.2558659854742541</v>
      </c>
      <c r="E240" s="217">
        <f t="shared" si="28"/>
        <v>0.13984041419749235</v>
      </c>
      <c r="F240" s="217">
        <f t="shared" si="28"/>
        <v>7.5711609961287007E-2</v>
      </c>
      <c r="G240" s="217">
        <f t="shared" si="28"/>
        <v>0.12733569488837931</v>
      </c>
      <c r="H240" s="217">
        <f t="shared" si="28"/>
        <v>0.11903377765107373</v>
      </c>
      <c r="I240" s="217">
        <f t="shared" si="28"/>
        <v>0.13715454287768802</v>
      </c>
      <c r="J240" s="217">
        <f>+J239/J236</f>
        <v>0.24361910279802115</v>
      </c>
      <c r="K240" s="217">
        <f>+K239/K236</f>
        <v>0.34821990328798874</v>
      </c>
      <c r="L240" s="217">
        <f t="shared" ref="L240:P240" si="29">+L239/L236</f>
        <v>0.34520538380942317</v>
      </c>
      <c r="M240" s="217">
        <f t="shared" si="29"/>
        <v>0.27287807444524786</v>
      </c>
      <c r="N240" s="217">
        <f t="shared" si="29"/>
        <v>0.31194592292621348</v>
      </c>
      <c r="O240" s="217">
        <f t="shared" si="29"/>
        <v>0.41155345015123629</v>
      </c>
      <c r="P240" s="217">
        <f t="shared" si="29"/>
        <v>0.26227690206929682</v>
      </c>
      <c r="Q240" s="217">
        <f>+Q239/Q236</f>
        <v>0.12377473764226822</v>
      </c>
      <c r="R240" s="217">
        <f>+R239/R236</f>
        <v>0.34926526193161145</v>
      </c>
    </row>
    <row r="241" spans="2:18" ht="12.75" customHeight="1">
      <c r="B241" s="216"/>
      <c r="C241" s="14"/>
      <c r="D241" s="14"/>
      <c r="E241" s="14"/>
      <c r="F241" s="14"/>
      <c r="G241" s="14"/>
      <c r="H241" s="14"/>
      <c r="I241" s="14"/>
      <c r="J241" s="14"/>
      <c r="K241" s="14"/>
      <c r="L241" s="14"/>
      <c r="M241" s="14"/>
      <c r="N241" s="14"/>
      <c r="O241" s="14"/>
      <c r="P241" s="14"/>
      <c r="Q241" s="14"/>
      <c r="R241" s="14"/>
    </row>
    <row r="242" spans="2:18" ht="12.75" customHeight="1">
      <c r="B242" s="212" t="s">
        <v>90</v>
      </c>
      <c r="C242" s="610">
        <v>0.20360649999999975</v>
      </c>
      <c r="D242" s="610">
        <v>-0.3757257799999989</v>
      </c>
      <c r="E242" s="610">
        <v>7.852716000000183E-2</v>
      </c>
      <c r="F242" s="610">
        <v>0.13897545000000003</v>
      </c>
      <c r="G242" s="610">
        <v>0.22947379999999987</v>
      </c>
      <c r="H242" s="610">
        <v>0.32307148000000002</v>
      </c>
      <c r="I242" s="610">
        <v>1.449552E-2</v>
      </c>
      <c r="J242" s="610">
        <v>1.9770120000000002E-2</v>
      </c>
      <c r="K242" s="610">
        <v>3.4100704409864166E-2</v>
      </c>
      <c r="L242" s="610">
        <v>8.3231283080275026E-2</v>
      </c>
      <c r="M242" s="610">
        <v>5.4547730000000016E-2</v>
      </c>
      <c r="N242" s="610">
        <v>13.745105160000003</v>
      </c>
      <c r="O242" s="610">
        <v>17.803175409999994</v>
      </c>
      <c r="P242" s="610">
        <v>61.812413370000002</v>
      </c>
      <c r="Q242" s="610">
        <v>5.98186E-2</v>
      </c>
      <c r="R242" s="610">
        <v>8.626639999999991E-3</v>
      </c>
    </row>
    <row r="243" spans="2:18" ht="12.75" customHeight="1">
      <c r="B243" s="218" t="s">
        <v>91</v>
      </c>
      <c r="C243" s="610">
        <v>-4.7997774200000016</v>
      </c>
      <c r="D243" s="610">
        <v>-3.0729425300000024</v>
      </c>
      <c r="E243" s="610">
        <v>-3.7020788672045657</v>
      </c>
      <c r="F243" s="610">
        <v>-3.31212771534689</v>
      </c>
      <c r="G243" s="610">
        <v>-3.2748378984489666</v>
      </c>
      <c r="H243" s="610">
        <v>-3.7878528599999992</v>
      </c>
      <c r="I243" s="610">
        <v>-1.9239605299999996</v>
      </c>
      <c r="J243" s="610">
        <v>-3.1317770300000021</v>
      </c>
      <c r="K243" s="610">
        <v>-2.679831819999996</v>
      </c>
      <c r="L243" s="610">
        <v>-2.5918758000000022</v>
      </c>
      <c r="M243" s="610">
        <v>-2.6340745499999993</v>
      </c>
      <c r="N243" s="610">
        <v>-2.5497723199999998</v>
      </c>
      <c r="O243" s="610">
        <v>-2.8257227100000017</v>
      </c>
      <c r="P243" s="610">
        <v>-3.3705686699999973</v>
      </c>
      <c r="Q243" s="610">
        <v>-2.7250787499999993</v>
      </c>
      <c r="R243" s="610">
        <v>-2.8281174800000008</v>
      </c>
    </row>
    <row r="244" spans="2:18" ht="12.75" customHeight="1">
      <c r="B244" s="219" t="s">
        <v>92</v>
      </c>
      <c r="C244" s="610">
        <v>-0.23104721999999972</v>
      </c>
      <c r="D244" s="610">
        <v>-0.81819233999999952</v>
      </c>
      <c r="E244" s="610">
        <v>-0.42735882999999997</v>
      </c>
      <c r="F244" s="610">
        <v>-0.50284046000000004</v>
      </c>
      <c r="G244" s="610">
        <v>-8.4061099999999778E-2</v>
      </c>
      <c r="H244" s="610">
        <v>-89.846479378415609</v>
      </c>
      <c r="I244" s="610">
        <v>-0.46406832000000003</v>
      </c>
      <c r="J244" s="610">
        <v>-0.21057763000000002</v>
      </c>
      <c r="K244" s="610">
        <v>-0.10063465999999976</v>
      </c>
      <c r="L244" s="610">
        <v>-0.34628282999999982</v>
      </c>
      <c r="M244" s="610">
        <v>-1.37710697</v>
      </c>
      <c r="N244" s="610">
        <v>-16.50202393008076</v>
      </c>
      <c r="O244" s="610">
        <v>-17.87509335</v>
      </c>
      <c r="P244" s="610">
        <v>-75.778642719919219</v>
      </c>
      <c r="Q244" s="610">
        <v>-0.62372706000000011</v>
      </c>
      <c r="R244" s="610">
        <v>0.2274809000000001</v>
      </c>
    </row>
    <row r="245" spans="2:18" ht="12.75" customHeight="1">
      <c r="B245" s="214" t="s">
        <v>93</v>
      </c>
      <c r="C245" s="612">
        <v>12.067200129999874</v>
      </c>
      <c r="D245" s="612">
        <v>7.3074595299999858</v>
      </c>
      <c r="E245" s="612">
        <v>2.9462304755832331</v>
      </c>
      <c r="F245" s="612">
        <v>-4.2891244848910715E-2</v>
      </c>
      <c r="G245" s="612">
        <v>3.0167702883837255</v>
      </c>
      <c r="H245" s="612">
        <v>-87.961231114173188</v>
      </c>
      <c r="I245" s="612">
        <v>3.4577317057142816</v>
      </c>
      <c r="J245" s="612">
        <v>2.2343284398959886</v>
      </c>
      <c r="K245" s="612">
        <v>5.9889484457443363</v>
      </c>
      <c r="L245" s="612">
        <v>6.2854211542436174</v>
      </c>
      <c r="M245" s="612">
        <v>5.4049116361229039</v>
      </c>
      <c r="N245" s="612">
        <f>+N239+N242+N244+N243</f>
        <v>4.6318422837963551</v>
      </c>
      <c r="O245" s="612">
        <f>+O239+O242+O244+O243</f>
        <v>9.8535442599999996</v>
      </c>
      <c r="P245" s="612">
        <v>-8.3019207899192367</v>
      </c>
      <c r="Q245" s="612">
        <f>+Q239+SUM(Q242:Q244)</f>
        <v>2.3882863099999789</v>
      </c>
      <c r="R245" s="612">
        <f>+R239+SUM(R242:R244)</f>
        <v>9.2001444900000457</v>
      </c>
    </row>
    <row r="246" spans="2:18" ht="12.75" customHeight="1">
      <c r="B246" s="220"/>
      <c r="C246" s="14"/>
      <c r="D246" s="14"/>
      <c r="E246" s="14"/>
      <c r="F246" s="14"/>
      <c r="G246" s="14"/>
      <c r="H246" s="14"/>
      <c r="I246" s="14"/>
      <c r="J246" s="14"/>
      <c r="K246" s="14"/>
      <c r="L246" s="14"/>
      <c r="M246" s="14"/>
      <c r="N246" s="14"/>
      <c r="O246" s="14"/>
      <c r="P246" s="14"/>
      <c r="Q246" s="14"/>
      <c r="R246" s="14"/>
    </row>
    <row r="247" spans="2:18" ht="12.75" customHeight="1">
      <c r="B247" s="218" t="s">
        <v>94</v>
      </c>
      <c r="C247" s="610">
        <v>11.654461599999998</v>
      </c>
      <c r="D247" s="610">
        <v>1.441148570000004</v>
      </c>
      <c r="E247" s="610">
        <v>0.37022272000000134</v>
      </c>
      <c r="F247" s="610">
        <v>-8.7001769999998424E-2</v>
      </c>
      <c r="G247" s="610">
        <v>0.14381695000000205</v>
      </c>
      <c r="H247" s="610">
        <v>3.8207663799999998</v>
      </c>
      <c r="I247" s="610">
        <v>0.18701267000000063</v>
      </c>
      <c r="J247" s="610">
        <v>0.20969281000000004</v>
      </c>
      <c r="K247" s="610">
        <v>0.21012326999999936</v>
      </c>
      <c r="L247" s="610">
        <v>-0.28156189000000226</v>
      </c>
      <c r="M247" s="610">
        <v>9.6255549999999815E-2</v>
      </c>
      <c r="N247" s="610">
        <v>8.1065389999997947E-2</v>
      </c>
      <c r="O247" s="610">
        <v>0.1609160400000107</v>
      </c>
      <c r="P247" s="610">
        <v>20.520266209999985</v>
      </c>
      <c r="Q247" s="610">
        <v>4.7832380000000008E-2</v>
      </c>
      <c r="R247" s="610">
        <v>5.8377670000000048E-2</v>
      </c>
    </row>
    <row r="248" spans="2:18" ht="12.75" customHeight="1">
      <c r="B248" s="218" t="s">
        <v>95</v>
      </c>
      <c r="C248" s="610">
        <v>-9.9325947599999971</v>
      </c>
      <c r="D248" s="613">
        <v>-10.576630900000008</v>
      </c>
      <c r="E248" s="613">
        <v>-7.4510929955538323</v>
      </c>
      <c r="F248" s="613">
        <v>-8.4109271500451079</v>
      </c>
      <c r="G248" s="613">
        <v>-7.3814155667536028</v>
      </c>
      <c r="H248" s="613">
        <v>-7.2669742500000005</v>
      </c>
      <c r="I248" s="613">
        <v>-7.1079690800000002</v>
      </c>
      <c r="J248" s="613">
        <v>-6.5293250700000005</v>
      </c>
      <c r="K248" s="613">
        <v>-7.6036888180005793</v>
      </c>
      <c r="L248" s="613">
        <v>-6.190005435744883</v>
      </c>
      <c r="M248" s="613">
        <v>-5.5981010517121206</v>
      </c>
      <c r="N248" s="613">
        <v>-5.4575061895632828</v>
      </c>
      <c r="O248" s="613">
        <v>-5.0506551057657028</v>
      </c>
      <c r="P248" s="613">
        <v>-4.2696420329588882</v>
      </c>
      <c r="Q248" s="613">
        <v>-4.1011093399999998</v>
      </c>
      <c r="R248" s="613">
        <v>-4.2098188700000003</v>
      </c>
    </row>
    <row r="249" spans="2:18" ht="12.75" customHeight="1">
      <c r="B249" s="218" t="s">
        <v>242</v>
      </c>
      <c r="C249" s="610">
        <v>0</v>
      </c>
      <c r="D249" s="610">
        <v>0</v>
      </c>
      <c r="E249" s="610">
        <v>0</v>
      </c>
      <c r="F249" s="610">
        <v>0</v>
      </c>
      <c r="G249" s="610">
        <v>0</v>
      </c>
      <c r="H249" s="610">
        <v>0</v>
      </c>
      <c r="I249" s="610">
        <v>0</v>
      </c>
      <c r="J249" s="610">
        <v>0</v>
      </c>
      <c r="K249" s="610">
        <v>0</v>
      </c>
      <c r="L249" s="610">
        <v>-0.41552028179139078</v>
      </c>
      <c r="M249" s="610">
        <v>-5.8735482878780497E-3</v>
      </c>
      <c r="N249" s="610">
        <v>-3.4389750436718824E-2</v>
      </c>
      <c r="O249" s="610">
        <v>-9.3761842342955787E-3</v>
      </c>
      <c r="P249" s="610">
        <v>-0.84857851704110754</v>
      </c>
      <c r="Q249" s="610">
        <v>-5.0858070000000005E-2</v>
      </c>
      <c r="R249" s="610">
        <v>-7.1187929999999996E-2</v>
      </c>
    </row>
    <row r="250" spans="2:18" ht="12.75" customHeight="1">
      <c r="B250" s="214" t="s">
        <v>96</v>
      </c>
      <c r="C250" s="612">
        <v>13.789066969999876</v>
      </c>
      <c r="D250" s="612">
        <v>-1.828022800000018</v>
      </c>
      <c r="E250" s="612">
        <v>-4.1346397999705982</v>
      </c>
      <c r="F250" s="612">
        <v>-8.5408201648940185</v>
      </c>
      <c r="G250" s="612">
        <v>-4.2208283283698753</v>
      </c>
      <c r="H250" s="612">
        <v>-91.407438984173183</v>
      </c>
      <c r="I250" s="612">
        <v>-3.463224704285718</v>
      </c>
      <c r="J250" s="612">
        <v>-4.0853038201040119</v>
      </c>
      <c r="K250" s="612">
        <v>-1.4046171022562437</v>
      </c>
      <c r="L250" s="612">
        <v>-0.60166645329265833</v>
      </c>
      <c r="M250" s="612">
        <v>-0.10280741387709436</v>
      </c>
      <c r="N250" s="612">
        <f>+N245+N247+N248+N249</f>
        <v>-0.77898826620364825</v>
      </c>
      <c r="O250" s="612">
        <f>+O245+O247+O248+O249</f>
        <v>4.9544290100000117</v>
      </c>
      <c r="P250" s="612">
        <v>7.1001248700807551</v>
      </c>
      <c r="Q250" s="612">
        <f>+Q245+SUM(Q247:Q249)</f>
        <v>-1.7158487200000212</v>
      </c>
      <c r="R250" s="612">
        <f>+R245+SUM(R247:R249)</f>
        <v>4.9775153600000452</v>
      </c>
    </row>
    <row r="251" spans="2:18" ht="12.75" customHeight="1">
      <c r="B251" s="221" t="s">
        <v>243</v>
      </c>
      <c r="C251" s="610">
        <v>0</v>
      </c>
      <c r="D251" s="610">
        <v>0</v>
      </c>
      <c r="E251" s="610">
        <v>0</v>
      </c>
      <c r="F251" s="610">
        <v>0</v>
      </c>
      <c r="G251" s="610">
        <v>0</v>
      </c>
      <c r="H251" s="610">
        <v>0</v>
      </c>
      <c r="I251" s="610">
        <v>0</v>
      </c>
      <c r="J251" s="610">
        <v>0</v>
      </c>
      <c r="K251" s="610">
        <v>0</v>
      </c>
      <c r="L251" s="610">
        <v>0</v>
      </c>
      <c r="M251" s="610">
        <v>0</v>
      </c>
      <c r="N251" s="610">
        <v>0</v>
      </c>
      <c r="O251" s="610">
        <v>-0.174647</v>
      </c>
      <c r="P251" s="610">
        <v>0.35618499999999997</v>
      </c>
      <c r="Q251" s="610">
        <v>-0.49753516000000003</v>
      </c>
      <c r="R251" s="610">
        <v>0</v>
      </c>
    </row>
    <row r="252" spans="2:18" ht="12.75" customHeight="1">
      <c r="B252" s="218" t="s">
        <v>309</v>
      </c>
      <c r="C252" s="610">
        <v>0.97474437999999985</v>
      </c>
      <c r="D252" s="613">
        <v>-1.3299698100000001</v>
      </c>
      <c r="E252" s="613">
        <v>-0.98020349000000007</v>
      </c>
      <c r="F252" s="613">
        <v>0.54282816999999994</v>
      </c>
      <c r="G252" s="613">
        <v>0</v>
      </c>
      <c r="H252" s="613">
        <v>-1.4763955499999997</v>
      </c>
      <c r="I252" s="613">
        <v>-1.3075000000000001E-4</v>
      </c>
      <c r="J252" s="613">
        <v>-0.51500379000000007</v>
      </c>
      <c r="K252" s="613">
        <v>0</v>
      </c>
      <c r="L252" s="613">
        <v>-3.1655597499999995</v>
      </c>
      <c r="M252" s="613">
        <v>-3.8568910000000005E-2</v>
      </c>
      <c r="N252" s="613">
        <v>-1.10924975</v>
      </c>
      <c r="O252" s="613">
        <v>-1.77120634</v>
      </c>
      <c r="P252" s="613">
        <v>-1.4651640000000001</v>
      </c>
      <c r="Q252" s="613">
        <v>-5.4019010000000006E-2</v>
      </c>
      <c r="R252" s="613">
        <v>-0.30222308999999992</v>
      </c>
    </row>
    <row r="253" spans="2:18" ht="12.75" customHeight="1">
      <c r="B253" s="222" t="s">
        <v>97</v>
      </c>
      <c r="C253" s="612">
        <v>14.763811349999877</v>
      </c>
      <c r="D253" s="612">
        <v>-3.1579926100000177</v>
      </c>
      <c r="E253" s="612">
        <v>-5.1148432899705973</v>
      </c>
      <c r="F253" s="612">
        <v>-7.9979919948940186</v>
      </c>
      <c r="G253" s="612">
        <v>-4.2208283283698753</v>
      </c>
      <c r="H253" s="612">
        <v>-92.883834534173189</v>
      </c>
      <c r="I253" s="612">
        <v>-3.4633554542857179</v>
      </c>
      <c r="J253" s="612">
        <v>-4.6003076101040117</v>
      </c>
      <c r="K253" s="612">
        <v>-1.4046171022562437</v>
      </c>
      <c r="L253" s="612">
        <v>-3.7672262032926573</v>
      </c>
      <c r="M253" s="612">
        <v>-0.14137632387709437</v>
      </c>
      <c r="N253" s="612">
        <f>+N250+N251+N252</f>
        <v>-1.8882380162036483</v>
      </c>
      <c r="O253" s="612">
        <f>+O250+O251+O252</f>
        <v>3.0085756700000115</v>
      </c>
      <c r="P253" s="612">
        <v>5.9911458700807536</v>
      </c>
      <c r="Q253" s="612">
        <f>+Q250+SUM(Q251:Q252)</f>
        <v>-2.2674028900000214</v>
      </c>
      <c r="R253" s="612">
        <f>+R250+SUM(R251:R252)</f>
        <v>4.6752922700000452</v>
      </c>
    </row>
    <row r="254" spans="2:18" ht="12.75" customHeight="1">
      <c r="B254" s="216" t="s">
        <v>395</v>
      </c>
      <c r="C254" s="217">
        <f t="shared" ref="C254:I254" si="30">+C253/C236</f>
        <v>0.24878087543887686</v>
      </c>
      <c r="D254" s="217">
        <f t="shared" si="30"/>
        <v>-6.9811693361853E-2</v>
      </c>
      <c r="E254" s="217">
        <f t="shared" si="30"/>
        <v>-0.10222200794832613</v>
      </c>
      <c r="F254" s="217">
        <f t="shared" si="30"/>
        <v>-0.16667325524524348</v>
      </c>
      <c r="G254" s="217">
        <f t="shared" si="30"/>
        <v>-8.7446308752945956E-2</v>
      </c>
      <c r="H254" s="217">
        <f t="shared" si="30"/>
        <v>-2.0665892420275527</v>
      </c>
      <c r="I254" s="217">
        <f t="shared" si="30"/>
        <v>-8.1460014464480562E-2</v>
      </c>
      <c r="J254" s="217">
        <f>+J253/J236</f>
        <v>-0.20168082829856099</v>
      </c>
      <c r="K254" s="217">
        <f>+K253/K236</f>
        <v>-5.5992906392507931E-2</v>
      </c>
      <c r="L254" s="217">
        <f>+L253/L236</f>
        <v>-0.14227759119239711</v>
      </c>
      <c r="M254" s="217">
        <f t="shared" ref="M254:P254" si="31">+M253/M236</f>
        <v>-4.1209541027358515E-3</v>
      </c>
      <c r="N254" s="217">
        <f t="shared" si="31"/>
        <v>-5.92671099960521E-2</v>
      </c>
      <c r="O254" s="217">
        <f t="shared" si="31"/>
        <v>9.7103893149454099E-2</v>
      </c>
      <c r="P254" s="217">
        <f t="shared" si="31"/>
        <v>0.17391926183927192</v>
      </c>
      <c r="Q254" s="217">
        <f>+Q253/Q236</f>
        <v>-4.9433446680066676E-2</v>
      </c>
      <c r="R254" s="217">
        <f>+R253/R236</f>
        <v>0.1384748808185679</v>
      </c>
    </row>
    <row r="255" spans="2:18" ht="12.75" customHeight="1">
      <c r="B255" s="216"/>
      <c r="C255" s="217"/>
      <c r="D255" s="217"/>
      <c r="E255" s="217"/>
      <c r="F255" s="217"/>
      <c r="G255" s="217"/>
      <c r="H255" s="217"/>
      <c r="I255" s="217"/>
      <c r="J255" s="217"/>
      <c r="K255" s="217"/>
      <c r="L255" s="217"/>
      <c r="M255" s="217"/>
      <c r="N255" s="217"/>
      <c r="O255" s="217"/>
      <c r="P255" s="217"/>
      <c r="Q255" s="217"/>
      <c r="R255" s="217"/>
    </row>
    <row r="256" spans="2:18" ht="12.75" hidden="1" customHeight="1">
      <c r="B256" s="216"/>
      <c r="C256" s="217"/>
      <c r="D256" s="217"/>
      <c r="E256" s="217"/>
      <c r="F256" s="217"/>
      <c r="G256" s="217"/>
      <c r="H256" s="217"/>
      <c r="I256" s="217"/>
      <c r="J256" s="217"/>
      <c r="K256" s="217"/>
      <c r="L256" s="217"/>
      <c r="M256" s="217"/>
      <c r="N256" s="217"/>
      <c r="O256" s="217"/>
      <c r="P256" s="217">
        <v>0</v>
      </c>
      <c r="Q256" s="217"/>
      <c r="R256" s="217"/>
    </row>
    <row r="257" spans="2:18" ht="12.75" hidden="1" customHeight="1">
      <c r="B257" s="216"/>
      <c r="C257" s="217"/>
      <c r="D257" s="217"/>
      <c r="E257" s="217"/>
      <c r="F257" s="217"/>
      <c r="G257" s="217"/>
      <c r="H257" s="217"/>
      <c r="I257" s="217"/>
      <c r="J257" s="217"/>
      <c r="K257" s="217"/>
      <c r="L257" s="217"/>
      <c r="M257" s="217"/>
      <c r="N257" s="217"/>
      <c r="O257" s="217"/>
      <c r="P257" s="217">
        <v>0</v>
      </c>
      <c r="Q257" s="217"/>
      <c r="R257" s="217"/>
    </row>
    <row r="258" spans="2:18" ht="12.75" hidden="1" customHeight="1">
      <c r="B258" s="223"/>
      <c r="C258" s="14"/>
      <c r="D258" s="14"/>
      <c r="E258" s="14"/>
      <c r="F258" s="14"/>
      <c r="G258" s="14"/>
      <c r="H258" s="14"/>
      <c r="I258" s="14"/>
      <c r="J258" s="14"/>
      <c r="K258" s="14"/>
      <c r="L258" s="14"/>
      <c r="M258" s="14"/>
      <c r="N258" s="14"/>
      <c r="O258" s="14"/>
      <c r="P258" s="14">
        <v>0</v>
      </c>
      <c r="Q258" s="14"/>
      <c r="R258" s="14"/>
    </row>
    <row r="259" spans="2:18" ht="12.75" customHeight="1">
      <c r="B259" s="224" t="s">
        <v>98</v>
      </c>
      <c r="C259" s="14"/>
      <c r="D259" s="14"/>
      <c r="E259" s="14"/>
      <c r="F259" s="14"/>
      <c r="G259" s="14"/>
      <c r="H259" s="14"/>
      <c r="I259" s="14"/>
      <c r="J259" s="14"/>
      <c r="K259" s="14"/>
      <c r="L259" s="14"/>
      <c r="M259" s="14"/>
      <c r="N259" s="14"/>
      <c r="O259" s="14"/>
      <c r="P259" s="14"/>
      <c r="Q259" s="14"/>
      <c r="R259" s="14"/>
    </row>
    <row r="260" spans="2:18" ht="12.75" customHeight="1">
      <c r="B260" s="225" t="s">
        <v>99</v>
      </c>
      <c r="C260" s="610">
        <v>13.927476562335286</v>
      </c>
      <c r="D260" s="613">
        <v>-4.3561332832720039</v>
      </c>
      <c r="E260" s="613">
        <v>-2.6330358572612567</v>
      </c>
      <c r="F260" s="613">
        <v>-5.8689186392109391</v>
      </c>
      <c r="G260" s="613">
        <v>-0.99194066480948351</v>
      </c>
      <c r="H260" s="613">
        <v>-90.235101576765146</v>
      </c>
      <c r="I260" s="613">
        <v>-3.4633554542857179</v>
      </c>
      <c r="J260" s="613">
        <v>-1.3530299178440131</v>
      </c>
      <c r="K260" s="613">
        <v>-1.4046171022562408</v>
      </c>
      <c r="L260" s="613">
        <v>1.3659209884384174</v>
      </c>
      <c r="M260" s="613">
        <v>2.0081897813033427</v>
      </c>
      <c r="N260" s="613">
        <v>-0.34406713616471141</v>
      </c>
      <c r="O260" s="613">
        <v>3.9233312597040975</v>
      </c>
      <c r="P260" s="613">
        <v>-6.0074930121637458</v>
      </c>
      <c r="Q260" s="613">
        <v>-2.2888970000000208</v>
      </c>
      <c r="R260" s="613">
        <v>4.5621527300000428</v>
      </c>
    </row>
    <row r="261" spans="2:18" ht="12.75" customHeight="1">
      <c r="B261" s="225" t="s">
        <v>100</v>
      </c>
      <c r="C261" s="610">
        <v>0.83633478766458502</v>
      </c>
      <c r="D261" s="613">
        <v>1.1941324298599811</v>
      </c>
      <c r="E261" s="613">
        <v>-2.481807432709338</v>
      </c>
      <c r="F261" s="613">
        <v>-2.2163907856830769</v>
      </c>
      <c r="G261" s="613">
        <v>-3.0744659235604139</v>
      </c>
      <c r="H261" s="613">
        <v>-2.648732957407999</v>
      </c>
      <c r="I261" s="613">
        <v>0</v>
      </c>
      <c r="J261" s="613">
        <v>-3.24727769226</v>
      </c>
      <c r="K261" s="613">
        <v>-2.24215691344655</v>
      </c>
      <c r="L261" s="613">
        <v>-5.1331471917310703</v>
      </c>
      <c r="M261" s="613">
        <v>-2.1495661051804396</v>
      </c>
      <c r="N261" s="613">
        <v>-1.5441708800389344</v>
      </c>
      <c r="O261" s="613">
        <v>-0.91475558970409576</v>
      </c>
      <c r="P261" s="613">
        <v>11.998638882244506</v>
      </c>
      <c r="Q261" s="613">
        <v>2.1494109999999986E-2</v>
      </c>
      <c r="R261" s="613">
        <v>0.11313953999999998</v>
      </c>
    </row>
    <row r="262" spans="2:18" ht="12.75" customHeight="1">
      <c r="B262" s="222" t="s">
        <v>101</v>
      </c>
      <c r="C262" s="612">
        <v>14.763811349999871</v>
      </c>
      <c r="D262" s="612">
        <v>-3.1620008534120227</v>
      </c>
      <c r="E262" s="612">
        <v>-5.1148432899705947</v>
      </c>
      <c r="F262" s="612">
        <v>-8.0853094248940156</v>
      </c>
      <c r="G262" s="612">
        <v>-4.0664065883698974</v>
      </c>
      <c r="H262" s="612">
        <v>-92.883834534173133</v>
      </c>
      <c r="I262" s="612">
        <v>-3.4633554542857179</v>
      </c>
      <c r="J262" s="612">
        <v>-4.6003076101040126</v>
      </c>
      <c r="K262" s="612">
        <v>-1.4046171022562408</v>
      </c>
      <c r="L262" s="612">
        <v>-3.7672262032926529</v>
      </c>
      <c r="M262" s="612">
        <v>-0.14137632387709687</v>
      </c>
      <c r="N262" s="612">
        <f>+N260+N261</f>
        <v>-1.8882380162036458</v>
      </c>
      <c r="O262" s="612">
        <f>+O260+O261</f>
        <v>3.0085756700000017</v>
      </c>
      <c r="P262" s="612">
        <f>+P260+P261</f>
        <v>5.9911458700807607</v>
      </c>
      <c r="Q262" s="612">
        <f t="shared" ref="Q262:R262" si="32">+Q260+Q261</f>
        <v>-2.2674028900000209</v>
      </c>
      <c r="R262" s="612">
        <f t="shared" si="32"/>
        <v>4.6752922700000425</v>
      </c>
    </row>
    <row r="263" spans="2:18" ht="12.75" customHeight="1">
      <c r="B263" s="14"/>
      <c r="C263" s="14"/>
      <c r="D263" s="14"/>
      <c r="E263" s="14"/>
      <c r="F263" s="14"/>
      <c r="G263" s="14"/>
      <c r="H263" s="14"/>
      <c r="I263" s="14"/>
      <c r="J263" s="14"/>
      <c r="K263" s="14"/>
      <c r="L263" s="14"/>
      <c r="M263" s="14"/>
      <c r="N263" s="14"/>
      <c r="O263" s="14"/>
      <c r="P263" s="14"/>
      <c r="Q263" s="14"/>
      <c r="R263" s="14"/>
    </row>
    <row r="264" spans="2:18" ht="12.75" customHeight="1">
      <c r="B264" s="226" t="s">
        <v>24</v>
      </c>
      <c r="C264" s="614">
        <v>23.262673969999874</v>
      </c>
      <c r="D264" s="614">
        <v>14.641557689999985</v>
      </c>
      <c r="E264" s="614">
        <v>12.075815031455488</v>
      </c>
      <c r="F264" s="614">
        <v>9.1586765671836723</v>
      </c>
      <c r="G264" s="614">
        <v>11.184372358383722</v>
      </c>
      <c r="H264" s="614">
        <v>10.090791330000005</v>
      </c>
      <c r="I264" s="614">
        <v>11.544993615714283</v>
      </c>
      <c r="J264" s="614">
        <v>9.2985563056102727</v>
      </c>
      <c r="K264" s="614">
        <v>13.32175964562019</v>
      </c>
      <c r="L264" s="614">
        <v>14.094916601163336</v>
      </c>
      <c r="M264" s="614">
        <v>13.320420070000001</v>
      </c>
      <c r="N264" s="614">
        <v>13.748614160971638</v>
      </c>
      <c r="O264" s="614">
        <v>18.718083407742135</v>
      </c>
      <c r="P264" s="614">
        <v>12.224733801249101</v>
      </c>
      <c r="Q264" s="614">
        <v>9.3897834732133703</v>
      </c>
      <c r="R264" s="614">
        <v>15.655067742480966</v>
      </c>
    </row>
    <row r="265" spans="2:18" ht="12.75" customHeight="1">
      <c r="B265" s="227" t="s">
        <v>25</v>
      </c>
      <c r="C265" s="607">
        <f t="shared" ref="C265:J265" si="33">+C264/C236</f>
        <v>0.39199284372499044</v>
      </c>
      <c r="D265" s="607">
        <f t="shared" si="33"/>
        <v>0.32367141473271338</v>
      </c>
      <c r="E265" s="607">
        <f t="shared" si="33"/>
        <v>0.24133956607203405</v>
      </c>
      <c r="F265" s="607">
        <f t="shared" si="33"/>
        <v>0.19086121093461567</v>
      </c>
      <c r="G265" s="607">
        <f t="shared" si="33"/>
        <v>0.23171567341068872</v>
      </c>
      <c r="H265" s="607">
        <f t="shared" si="33"/>
        <v>0.22451184224581752</v>
      </c>
      <c r="I265" s="607">
        <f t="shared" si="33"/>
        <v>0.27154456403389315</v>
      </c>
      <c r="J265" s="607">
        <f t="shared" si="33"/>
        <v>0.4076554649470247</v>
      </c>
      <c r="K265" s="607">
        <f>+K264/K236</f>
        <v>0.53105151547885854</v>
      </c>
      <c r="L265" s="607">
        <f>+L264/L236</f>
        <v>0.53232555568828932</v>
      </c>
      <c r="M265" s="607">
        <f t="shared" ref="M265" si="34">+M264/M236</f>
        <v>0.38827462924663836</v>
      </c>
      <c r="N265" s="607">
        <f>+N264/N236</f>
        <v>0.4315349128548126</v>
      </c>
      <c r="O265" s="607">
        <f>+O264/O236</f>
        <v>0.60413929066572392</v>
      </c>
      <c r="P265" s="607">
        <f>+P264/P236</f>
        <v>0.35487646687296948</v>
      </c>
      <c r="Q265" s="607">
        <f>+Q264/Q236</f>
        <v>0.20471410824587069</v>
      </c>
      <c r="R265" s="607">
        <f>+R264/R236</f>
        <v>0.46367874234451611</v>
      </c>
    </row>
    <row r="267" spans="2:18" ht="12.75" hidden="1" customHeight="1"/>
    <row r="268" spans="2:18" ht="12.75" customHeight="1">
      <c r="B268" s="225" t="s">
        <v>410</v>
      </c>
      <c r="C268" s="610">
        <v>11.168033119999999</v>
      </c>
      <c r="D268" s="613">
        <v>8.8954824600000002</v>
      </c>
      <c r="E268" s="613">
        <v>8.7807528858722552</v>
      </c>
      <c r="F268" s="613">
        <v>8.8377028020325827</v>
      </c>
      <c r="G268" s="613">
        <v>8.3130147699999988</v>
      </c>
      <c r="H268" s="613">
        <v>8.8954824600000002</v>
      </c>
      <c r="I268" s="613">
        <v>7.6376891100000002</v>
      </c>
      <c r="J268" s="613">
        <v>6.8734203557142841</v>
      </c>
      <c r="K268" s="613">
        <v>7.2662772442857175</v>
      </c>
      <c r="L268" s="613">
        <v>7.5464438999999928</v>
      </c>
      <c r="M268" s="613">
        <v>6.5929491938770965</v>
      </c>
      <c r="N268" s="613">
        <v>6.3598531070945281</v>
      </c>
      <c r="O268" s="613">
        <v>6.5940788275509803</v>
      </c>
      <c r="P268" s="613">
        <v>6.5604252412491206</v>
      </c>
      <c r="Q268" s="613">
        <v>6.4375887032133914</v>
      </c>
      <c r="R268" s="613">
        <v>6.6910307924809258</v>
      </c>
    </row>
  </sheetData>
  <phoneticPr fontId="14" type="noConversion"/>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N36"/>
  <sheetViews>
    <sheetView showGridLines="0" zoomScaleNormal="100" workbookViewId="0">
      <pane xSplit="2" ySplit="2" topLeftCell="J3" activePane="bottomRight" state="frozen"/>
      <selection activeCell="B42" sqref="B42"/>
      <selection pane="topRight" activeCell="B42" sqref="B42"/>
      <selection pane="bottomLeft" activeCell="B42" sqref="B42"/>
      <selection pane="bottomRight" activeCell="M4" sqref="M4"/>
    </sheetView>
  </sheetViews>
  <sheetFormatPr baseColWidth="10" defaultRowHeight="14.1" customHeight="1"/>
  <cols>
    <col min="1" max="1" width="3.42578125" style="102" customWidth="1"/>
    <col min="2" max="2" width="48" style="102" customWidth="1"/>
    <col min="3" max="10" width="16.140625" style="103" customWidth="1"/>
    <col min="11" max="11" width="15.7109375" style="103" customWidth="1"/>
    <col min="12" max="12" width="15.7109375" style="102" customWidth="1"/>
    <col min="13" max="16384" width="11.42578125" style="102"/>
  </cols>
  <sheetData>
    <row r="2" spans="2:14" s="101" customFormat="1" ht="14.1" customHeight="1">
      <c r="B2" s="13" t="s">
        <v>529</v>
      </c>
      <c r="C2" s="2">
        <v>2013</v>
      </c>
      <c r="D2" s="2" t="s">
        <v>249</v>
      </c>
      <c r="E2" s="2">
        <v>2015</v>
      </c>
      <c r="F2" s="2">
        <v>2016</v>
      </c>
      <c r="G2" s="2">
        <v>2017</v>
      </c>
      <c r="H2" s="2">
        <v>2018</v>
      </c>
      <c r="I2" s="2">
        <v>2019</v>
      </c>
      <c r="J2" s="2">
        <v>2020</v>
      </c>
      <c r="K2" s="2">
        <v>2021</v>
      </c>
      <c r="L2" s="2" t="s">
        <v>923</v>
      </c>
      <c r="M2" s="3"/>
      <c r="N2" s="3"/>
    </row>
    <row r="3" spans="2:14" s="101" customFormat="1" ht="14.1" customHeight="1">
      <c r="B3" s="17"/>
      <c r="C3" s="79"/>
      <c r="D3" s="79"/>
      <c r="E3" s="79"/>
      <c r="F3" s="79"/>
      <c r="G3" s="79"/>
      <c r="H3" s="79"/>
      <c r="I3" s="79"/>
      <c r="J3" s="79"/>
      <c r="K3" s="79"/>
      <c r="L3" s="3"/>
      <c r="M3" s="3"/>
      <c r="N3" s="3"/>
    </row>
    <row r="4" spans="2:14" s="101" customFormat="1" ht="14.1" customHeight="1" thickBot="1">
      <c r="B4" s="28" t="s">
        <v>135</v>
      </c>
      <c r="C4" s="79"/>
      <c r="D4" s="79"/>
      <c r="E4" s="79"/>
      <c r="F4" s="79"/>
      <c r="G4" s="79"/>
      <c r="H4" s="79"/>
      <c r="I4" s="79"/>
      <c r="J4" s="79"/>
      <c r="K4" s="79"/>
      <c r="L4" s="3"/>
      <c r="M4" s="3"/>
      <c r="N4" s="3"/>
    </row>
    <row r="5" spans="2:14" s="101" customFormat="1" ht="14.1" customHeight="1" thickTop="1">
      <c r="B5" s="17" t="s">
        <v>78</v>
      </c>
      <c r="C5" s="79"/>
      <c r="D5" s="79"/>
      <c r="E5" s="79"/>
      <c r="F5" s="79"/>
      <c r="G5" s="79"/>
      <c r="H5" s="79"/>
      <c r="I5" s="79"/>
      <c r="J5" s="79"/>
      <c r="K5" s="79"/>
      <c r="L5" s="3"/>
      <c r="M5" s="3"/>
      <c r="N5" s="3"/>
    </row>
    <row r="6" spans="2:14" s="101" customFormat="1" ht="14.1" customHeight="1">
      <c r="B6" s="17"/>
      <c r="C6" s="79"/>
      <c r="D6" s="79"/>
      <c r="E6" s="79"/>
      <c r="F6" s="79"/>
      <c r="G6" s="79"/>
      <c r="H6" s="79"/>
      <c r="I6" s="79"/>
      <c r="J6" s="79"/>
      <c r="K6" s="79"/>
      <c r="L6" s="3"/>
      <c r="M6" s="3"/>
      <c r="N6" s="3"/>
    </row>
    <row r="7" spans="2:14" ht="14.1" customHeight="1">
      <c r="B7" s="80" t="s">
        <v>24</v>
      </c>
      <c r="C7" s="4">
        <v>864562.95713299955</v>
      </c>
      <c r="D7" s="4">
        <v>905093.460399676</v>
      </c>
      <c r="E7" s="4">
        <v>683542.67984399968</v>
      </c>
      <c r="F7" s="4">
        <v>1031375.1544501936</v>
      </c>
      <c r="G7" s="4">
        <v>1123683</v>
      </c>
      <c r="H7" s="4">
        <v>1135052.2131195855</v>
      </c>
      <c r="I7" s="4">
        <v>1262429.1960434408</v>
      </c>
      <c r="J7" s="4">
        <v>1236089.1457177782</v>
      </c>
      <c r="K7" s="4">
        <v>1368464.492814</v>
      </c>
      <c r="L7" s="4">
        <v>912743</v>
      </c>
    </row>
    <row r="8" spans="2:14" ht="14.1" customHeight="1">
      <c r="B8" s="80" t="s">
        <v>119</v>
      </c>
      <c r="C8" s="5">
        <v>76156.137177485623</v>
      </c>
      <c r="D8" s="5">
        <v>50240.869200717425</v>
      </c>
      <c r="E8" s="5">
        <v>56213.496260929118</v>
      </c>
      <c r="F8" s="5">
        <v>-272080</v>
      </c>
      <c r="G8" s="5">
        <v>-50254</v>
      </c>
      <c r="H8" s="5">
        <v>91866.072700425022</v>
      </c>
      <c r="I8" s="5">
        <v>67759.778581639082</v>
      </c>
      <c r="J8" s="5">
        <v>-72018.564868762987</v>
      </c>
      <c r="K8" s="5">
        <v>44575.364543051401</v>
      </c>
      <c r="L8" s="5">
        <v>-111640</v>
      </c>
    </row>
    <row r="9" spans="2:14" ht="14.1" customHeight="1">
      <c r="B9" s="80" t="s">
        <v>615</v>
      </c>
      <c r="C9" s="5"/>
      <c r="D9" s="5"/>
      <c r="E9" s="5"/>
      <c r="F9" s="5"/>
      <c r="G9" s="5"/>
      <c r="H9" s="5"/>
      <c r="I9" s="5"/>
      <c r="J9" s="5">
        <v>26557.601798</v>
      </c>
      <c r="K9" s="5">
        <v>-174550.97111799999</v>
      </c>
      <c r="L9" s="5">
        <v>-100822</v>
      </c>
    </row>
    <row r="10" spans="2:14" ht="14.1" customHeight="1">
      <c r="B10" s="81" t="s">
        <v>120</v>
      </c>
      <c r="C10" s="6">
        <v>-278222.94772113999</v>
      </c>
      <c r="D10" s="6">
        <v>-277159.49837483099</v>
      </c>
      <c r="E10" s="6">
        <v>-364713.67572587542</v>
      </c>
      <c r="F10" s="6">
        <v>-250860.05311936434</v>
      </c>
      <c r="G10" s="6">
        <v>-220262</v>
      </c>
      <c r="H10" s="6">
        <v>-194373.35195339529</v>
      </c>
      <c r="I10" s="6">
        <v>-245564.21310135</v>
      </c>
      <c r="J10" s="6">
        <v>-295656.25399186829</v>
      </c>
      <c r="K10" s="6">
        <v>-227767.32950345459</v>
      </c>
      <c r="L10" s="6">
        <v>-120290</v>
      </c>
    </row>
    <row r="11" spans="2:14" ht="14.1" customHeight="1">
      <c r="B11" s="120" t="s">
        <v>121</v>
      </c>
      <c r="C11" s="121">
        <v>662496.14658934518</v>
      </c>
      <c r="D11" s="121">
        <v>678174.83122556238</v>
      </c>
      <c r="E11" s="121">
        <v>375042.50037905341</v>
      </c>
      <c r="F11" s="121">
        <v>508435.10133082932</v>
      </c>
      <c r="G11" s="121">
        <v>853166</v>
      </c>
      <c r="H11" s="121">
        <v>1032544.9338666153</v>
      </c>
      <c r="I11" s="121">
        <v>1084624.7615237299</v>
      </c>
      <c r="J11" s="121">
        <v>894971.92865514685</v>
      </c>
      <c r="K11" s="121">
        <f>SUM(K7:K10)</f>
        <v>1010721.5567355967</v>
      </c>
      <c r="L11" s="121">
        <f>SUM(L7:L10)</f>
        <v>579991</v>
      </c>
    </row>
    <row r="12" spans="2:14" ht="14.1" customHeight="1">
      <c r="B12" s="82"/>
      <c r="C12" s="8"/>
      <c r="D12" s="8"/>
      <c r="E12" s="8"/>
      <c r="F12" s="4"/>
      <c r="G12" s="4"/>
      <c r="H12" s="4"/>
      <c r="I12" s="4"/>
      <c r="J12" s="4"/>
      <c r="K12" s="4"/>
      <c r="L12" s="4"/>
    </row>
    <row r="13" spans="2:14" ht="14.1" customHeight="1">
      <c r="B13" s="80" t="s">
        <v>258</v>
      </c>
      <c r="C13" s="5">
        <v>-313624.56373979902</v>
      </c>
      <c r="D13" s="5">
        <v>-2122211.17065736</v>
      </c>
      <c r="E13" s="5">
        <v>-286402.13214560598</v>
      </c>
      <c r="F13" s="5">
        <v>-371544.09742649534</v>
      </c>
      <c r="G13" s="5">
        <v>-516531</v>
      </c>
      <c r="H13" s="5">
        <v>-618481.50122584589</v>
      </c>
      <c r="I13" s="5">
        <v>-1732809.8245901903</v>
      </c>
      <c r="J13" s="5">
        <v>-771719.73926320614</v>
      </c>
      <c r="K13" s="5">
        <v>-1051641</v>
      </c>
      <c r="L13" s="5">
        <v>-816053</v>
      </c>
    </row>
    <row r="14" spans="2:14" ht="14.1" customHeight="1">
      <c r="B14" s="122" t="s">
        <v>122</v>
      </c>
      <c r="C14" s="123">
        <v>-313624.56373979902</v>
      </c>
      <c r="D14" s="123">
        <v>-2122211.17065736</v>
      </c>
      <c r="E14" s="123">
        <v>-286402.13214560598</v>
      </c>
      <c r="F14" s="123">
        <v>-371544.09742649534</v>
      </c>
      <c r="G14" s="123">
        <v>-516531</v>
      </c>
      <c r="H14" s="123">
        <v>-618481.50122584589</v>
      </c>
      <c r="I14" s="123">
        <v>-1732809.8245901903</v>
      </c>
      <c r="J14" s="123">
        <v>-771719.73926320614</v>
      </c>
      <c r="K14" s="123">
        <f>+K13</f>
        <v>-1051641</v>
      </c>
      <c r="L14" s="123">
        <f>+L13</f>
        <v>-816053</v>
      </c>
    </row>
    <row r="15" spans="2:14" ht="14.1" customHeight="1">
      <c r="B15" s="82"/>
      <c r="C15" s="8"/>
      <c r="D15" s="8"/>
      <c r="E15" s="8"/>
      <c r="F15" s="8"/>
      <c r="G15" s="8"/>
      <c r="H15" s="8"/>
      <c r="I15" s="8"/>
      <c r="J15" s="8"/>
      <c r="K15" s="8"/>
      <c r="L15" s="8"/>
    </row>
    <row r="16" spans="2:14" s="133" customFormat="1" ht="14.1" hidden="1" customHeight="1">
      <c r="B16" s="130" t="s">
        <v>136</v>
      </c>
      <c r="C16" s="131">
        <v>105444.41070000001</v>
      </c>
      <c r="D16" s="131">
        <v>107425.900922</v>
      </c>
      <c r="E16" s="131">
        <v>0</v>
      </c>
      <c r="F16" s="132"/>
      <c r="G16" s="157"/>
      <c r="H16" s="157"/>
      <c r="I16" s="157"/>
      <c r="J16" s="157"/>
      <c r="K16" s="157"/>
      <c r="L16" s="157"/>
    </row>
    <row r="17" spans="2:12" s="133" customFormat="1" ht="14.1" hidden="1" customHeight="1">
      <c r="B17" s="130" t="s">
        <v>137</v>
      </c>
      <c r="C17" s="131">
        <v>0</v>
      </c>
      <c r="D17" s="131">
        <v>0</v>
      </c>
      <c r="E17" s="131">
        <v>4269.0943079999997</v>
      </c>
      <c r="F17" s="132"/>
      <c r="G17" s="157"/>
      <c r="H17" s="157"/>
      <c r="I17" s="157"/>
      <c r="J17" s="157"/>
      <c r="K17" s="157"/>
      <c r="L17" s="157"/>
    </row>
    <row r="18" spans="2:12" s="133" customFormat="1" ht="14.1" hidden="1" customHeight="1">
      <c r="B18" s="134" t="s">
        <v>123</v>
      </c>
      <c r="C18" s="135">
        <v>34005.350602999999</v>
      </c>
      <c r="D18" s="135">
        <v>59809.582991999996</v>
      </c>
      <c r="E18" s="135">
        <v>320757.00664476422</v>
      </c>
      <c r="F18" s="136"/>
      <c r="G18" s="158"/>
      <c r="H18" s="158"/>
      <c r="I18" s="158"/>
      <c r="J18" s="158"/>
      <c r="K18" s="158"/>
      <c r="L18" s="158"/>
    </row>
    <row r="19" spans="2:12" ht="14.1" hidden="1" customHeight="1" thickBot="1">
      <c r="B19" s="124" t="s">
        <v>124</v>
      </c>
      <c r="C19" s="125">
        <v>139449.76130300001</v>
      </c>
      <c r="D19" s="125">
        <v>167235.48391399998</v>
      </c>
      <c r="E19" s="125">
        <v>325026.10095276422</v>
      </c>
      <c r="F19" s="233" t="s">
        <v>159</v>
      </c>
      <c r="G19" s="233" t="s">
        <v>159</v>
      </c>
      <c r="H19" s="233" t="s">
        <v>159</v>
      </c>
      <c r="I19" s="233" t="s">
        <v>159</v>
      </c>
      <c r="J19" s="233"/>
      <c r="K19" s="233"/>
      <c r="L19" s="233"/>
    </row>
    <row r="20" spans="2:12" ht="14.1" customHeight="1">
      <c r="B20" s="122" t="s">
        <v>125</v>
      </c>
      <c r="C20" s="123">
        <v>488321.34415254614</v>
      </c>
      <c r="D20" s="123">
        <v>-1276800.8555177976</v>
      </c>
      <c r="E20" s="123">
        <v>413666.46918621165</v>
      </c>
      <c r="F20" s="123">
        <v>136891.00390433398</v>
      </c>
      <c r="G20" s="123">
        <v>336635</v>
      </c>
      <c r="H20" s="123">
        <v>414063.4326407694</v>
      </c>
      <c r="I20" s="123">
        <v>-648185.06306646043</v>
      </c>
      <c r="J20" s="123">
        <f>+J11+J14</f>
        <v>123252.18939194072</v>
      </c>
      <c r="K20" s="123">
        <f>+K11+K14</f>
        <v>-40919.443264403264</v>
      </c>
      <c r="L20" s="123">
        <f>+L11+L14</f>
        <v>-236062</v>
      </c>
    </row>
    <row r="21" spans="2:12" ht="14.1" customHeight="1">
      <c r="B21" s="7"/>
      <c r="C21" s="8"/>
      <c r="D21" s="8"/>
      <c r="E21" s="8"/>
      <c r="F21" s="8"/>
      <c r="G21" s="8"/>
      <c r="H21" s="8"/>
      <c r="I21" s="8"/>
      <c r="J21" s="8"/>
      <c r="K21" s="8"/>
      <c r="L21" s="8"/>
    </row>
    <row r="22" spans="2:12" ht="14.1" customHeight="1">
      <c r="B22" s="142" t="s">
        <v>126</v>
      </c>
      <c r="C22" s="143">
        <v>-91098.807912761578</v>
      </c>
      <c r="D22" s="143">
        <v>582140.0380878764</v>
      </c>
      <c r="E22" s="143">
        <v>-101765.77541627956</v>
      </c>
      <c r="F22" s="143">
        <v>-393382.67714923492</v>
      </c>
      <c r="G22" s="143">
        <v>-338492.26591470209</v>
      </c>
      <c r="H22" s="143">
        <v>-687568.41769979219</v>
      </c>
      <c r="I22" s="143">
        <v>-72835.001704777693</v>
      </c>
      <c r="J22" s="143">
        <v>23722.00962824485</v>
      </c>
      <c r="K22" s="143">
        <v>42952.823609019397</v>
      </c>
      <c r="L22" s="143">
        <v>450991</v>
      </c>
    </row>
    <row r="23" spans="2:12" ht="14.1" customHeight="1">
      <c r="B23" s="141" t="s">
        <v>535</v>
      </c>
      <c r="C23" s="5">
        <v>52247.214260430002</v>
      </c>
      <c r="D23" s="5">
        <v>758328.90762909991</v>
      </c>
      <c r="E23" s="5">
        <v>363273.43514383351</v>
      </c>
      <c r="F23" s="5">
        <v>167789</v>
      </c>
      <c r="G23" s="5">
        <v>58272.563183319966</v>
      </c>
      <c r="H23" s="5">
        <v>1512303.3355487855</v>
      </c>
      <c r="I23" s="5">
        <v>1023522.1744623999</v>
      </c>
      <c r="J23" s="5">
        <v>183541.8195844068</v>
      </c>
      <c r="K23" s="5">
        <v>220856.36363546987</v>
      </c>
      <c r="L23" s="5">
        <v>-149421</v>
      </c>
    </row>
    <row r="24" spans="2:12" ht="14.1" customHeight="1">
      <c r="B24" s="141" t="s">
        <v>127</v>
      </c>
      <c r="C24" s="5">
        <v>-30977.710987999977</v>
      </c>
      <c r="D24" s="5">
        <v>-181897.40024034999</v>
      </c>
      <c r="E24" s="5">
        <v>-164593.57995542727</v>
      </c>
      <c r="F24" s="5">
        <v>-48105</v>
      </c>
      <c r="G24" s="5">
        <v>-91952.599111837553</v>
      </c>
      <c r="H24" s="5">
        <v>-820970.46128647367</v>
      </c>
      <c r="I24" s="5">
        <v>-139657.26621469579</v>
      </c>
      <c r="J24" s="257" t="s">
        <v>159</v>
      </c>
      <c r="K24" s="257" t="s">
        <v>159</v>
      </c>
      <c r="L24" s="257" t="s">
        <v>159</v>
      </c>
    </row>
    <row r="25" spans="2:12" ht="14.1" customHeight="1">
      <c r="B25" s="141" t="s">
        <v>128</v>
      </c>
      <c r="C25" s="5">
        <v>39183.205943380002</v>
      </c>
      <c r="D25" s="5">
        <v>31098.881626171693</v>
      </c>
      <c r="E25" s="5">
        <v>19627.8230660751</v>
      </c>
      <c r="F25" s="5">
        <v>44162.174371859692</v>
      </c>
      <c r="G25" s="5">
        <v>12879.900592554406</v>
      </c>
      <c r="H25" s="5">
        <v>27699.631300835197</v>
      </c>
      <c r="I25" s="257" t="s">
        <v>159</v>
      </c>
      <c r="J25" s="257" t="s">
        <v>159</v>
      </c>
      <c r="K25" s="257" t="s">
        <v>159</v>
      </c>
      <c r="L25" s="257" t="s">
        <v>159</v>
      </c>
    </row>
    <row r="26" spans="2:12" ht="14.1" customHeight="1">
      <c r="B26" s="141" t="s">
        <v>259</v>
      </c>
      <c r="C26" s="5">
        <v>-304142.5675355948</v>
      </c>
      <c r="D26" s="5">
        <v>-344033.75349989778</v>
      </c>
      <c r="E26" s="5">
        <v>-519209.54918507126</v>
      </c>
      <c r="F26" s="5">
        <v>-122758</v>
      </c>
      <c r="G26" s="5">
        <v>-171446.73837830557</v>
      </c>
      <c r="H26" s="5">
        <v>-209079.66085078497</v>
      </c>
      <c r="I26" s="5">
        <v>-245929.91312099999</v>
      </c>
      <c r="J26" s="5">
        <v>-310807.71678698238</v>
      </c>
      <c r="K26" s="5">
        <v>-408042.01974625082</v>
      </c>
      <c r="L26" s="5">
        <v>-157954</v>
      </c>
    </row>
    <row r="27" spans="2:12" ht="14.1" customHeight="1">
      <c r="B27" s="141" t="s">
        <v>321</v>
      </c>
      <c r="C27" s="5"/>
      <c r="D27" s="5"/>
      <c r="E27" s="5"/>
      <c r="F27" s="5">
        <v>-19836.927845336395</v>
      </c>
      <c r="G27" s="5">
        <v>1285.4852714941371</v>
      </c>
      <c r="H27" s="5">
        <v>35735.605379660701</v>
      </c>
      <c r="I27" s="5">
        <v>23135.41581853342</v>
      </c>
      <c r="J27" s="5">
        <v>7429.0532913898351</v>
      </c>
      <c r="K27" s="5">
        <v>27816.168798340936</v>
      </c>
      <c r="L27" s="5">
        <v>2123</v>
      </c>
    </row>
    <row r="28" spans="2:12" ht="14.1" customHeight="1">
      <c r="B28" s="127" t="s">
        <v>129</v>
      </c>
      <c r="C28" s="126">
        <v>-334788.66623254633</v>
      </c>
      <c r="D28" s="126">
        <v>845636.67360290012</v>
      </c>
      <c r="E28" s="126">
        <v>-402667.64634686947</v>
      </c>
      <c r="F28" s="126">
        <v>-372131.4306227116</v>
      </c>
      <c r="G28" s="126">
        <v>-529453.65435747663</v>
      </c>
      <c r="H28" s="126">
        <f>SUM(H22:H27)</f>
        <v>-141879.96760776942</v>
      </c>
      <c r="I28" s="126">
        <f>SUM(I22:I27)</f>
        <v>588235.40924045979</v>
      </c>
      <c r="J28" s="126">
        <f>SUM(J22:J27)</f>
        <v>-96114.834282940894</v>
      </c>
      <c r="K28" s="126">
        <f>SUM(K22:K27)</f>
        <v>-116416.66370342062</v>
      </c>
      <c r="L28" s="126">
        <f>SUM(L22:L27)</f>
        <v>145739</v>
      </c>
    </row>
    <row r="29" spans="2:12" ht="14.1" customHeight="1">
      <c r="B29" s="12" t="s">
        <v>130</v>
      </c>
      <c r="C29" s="11">
        <f t="shared" ref="C29:L29" si="0">+C28+C20</f>
        <v>153532.67791999981</v>
      </c>
      <c r="D29" s="11">
        <f t="shared" si="0"/>
        <v>-431164.18191489752</v>
      </c>
      <c r="E29" s="11">
        <f t="shared" si="0"/>
        <v>10998.822839342174</v>
      </c>
      <c r="F29" s="11">
        <f t="shared" si="0"/>
        <v>-235240.42671837762</v>
      </c>
      <c r="G29" s="11">
        <f t="shared" si="0"/>
        <v>-192818.65435747663</v>
      </c>
      <c r="H29" s="11">
        <f t="shared" si="0"/>
        <v>272183.46503299999</v>
      </c>
      <c r="I29" s="11">
        <f t="shared" si="0"/>
        <v>-59949.653826000635</v>
      </c>
      <c r="J29" s="11">
        <f t="shared" si="0"/>
        <v>27137.355108999822</v>
      </c>
      <c r="K29" s="11">
        <f t="shared" si="0"/>
        <v>-157336.10696782387</v>
      </c>
      <c r="L29" s="11">
        <f t="shared" si="0"/>
        <v>-90323</v>
      </c>
    </row>
    <row r="30" spans="2:12" ht="14.1" customHeight="1">
      <c r="B30" s="80" t="s">
        <v>131</v>
      </c>
      <c r="C30" s="5">
        <v>744227.2812020001</v>
      </c>
      <c r="D30" s="5">
        <v>1020667.2632798919</v>
      </c>
      <c r="E30" s="5">
        <v>589499.56264810474</v>
      </c>
      <c r="F30" s="5">
        <v>600498</v>
      </c>
      <c r="G30" s="5">
        <v>365257.43525400071</v>
      </c>
      <c r="H30" s="5">
        <v>172438.222836</v>
      </c>
      <c r="I30" s="5">
        <v>444621.68786900002</v>
      </c>
      <c r="J30" s="5">
        <f>+I31</f>
        <v>384672.03404299938</v>
      </c>
      <c r="K30" s="5">
        <v>411809.3891519999</v>
      </c>
      <c r="L30" s="5">
        <v>254473.76472400001</v>
      </c>
    </row>
    <row r="31" spans="2:12" ht="14.1" customHeight="1">
      <c r="B31" s="9" t="s">
        <v>132</v>
      </c>
      <c r="C31" s="10">
        <v>897759.95912199991</v>
      </c>
      <c r="D31" s="10">
        <v>589503.08136499429</v>
      </c>
      <c r="E31" s="10">
        <v>600498.38548744691</v>
      </c>
      <c r="F31" s="10">
        <v>365257.57328162238</v>
      </c>
      <c r="G31" s="10">
        <v>172438.78089652408</v>
      </c>
      <c r="H31" s="10">
        <v>444621.68786900025</v>
      </c>
      <c r="I31" s="10">
        <f>+I29+I30</f>
        <v>384672.03404299938</v>
      </c>
      <c r="J31" s="10">
        <f>+J29+J30</f>
        <v>411809.3891519992</v>
      </c>
      <c r="K31" s="10">
        <f>+K29+K30</f>
        <v>254473.28218417603</v>
      </c>
      <c r="L31" s="10">
        <f>+L29+L30</f>
        <v>164150.76472400001</v>
      </c>
    </row>
    <row r="34" spans="2:2" ht="14.1" customHeight="1">
      <c r="B34" s="102" t="s">
        <v>251</v>
      </c>
    </row>
    <row r="35" spans="2:2" ht="14.1" customHeight="1">
      <c r="B35" s="102" t="s">
        <v>250</v>
      </c>
    </row>
    <row r="36" spans="2:2" ht="14.1" customHeight="1">
      <c r="B36" s="102" t="s">
        <v>260</v>
      </c>
    </row>
  </sheetData>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D84"/>
  <sheetViews>
    <sheetView showGridLines="0" zoomScale="80" zoomScaleNormal="80" workbookViewId="0">
      <pane xSplit="2" ySplit="4" topLeftCell="T5" activePane="bottomRight" state="frozen"/>
      <selection pane="topRight" activeCell="C1" sqref="C1"/>
      <selection pane="bottomLeft" activeCell="A5" sqref="A5"/>
      <selection pane="bottomRight" activeCell="AC4" sqref="AC4"/>
    </sheetView>
  </sheetViews>
  <sheetFormatPr baseColWidth="10" defaultRowHeight="14.1" customHeight="1"/>
  <cols>
    <col min="1" max="1" width="4.7109375" style="92" customWidth="1"/>
    <col min="2" max="2" width="52.7109375" style="92" customWidth="1"/>
    <col min="3" max="21" width="12.5703125" style="106" customWidth="1"/>
    <col min="22" max="26" width="12.7109375" style="106" customWidth="1"/>
    <col min="27" max="28" width="12.7109375" style="92" customWidth="1"/>
    <col min="29" max="29" width="11.42578125" style="92"/>
    <col min="30" max="30" width="53.5703125" style="92" bestFit="1" customWidth="1"/>
    <col min="31" max="16384" width="11.42578125" style="92"/>
  </cols>
  <sheetData>
    <row r="2" spans="2:28" ht="14.1" customHeight="1">
      <c r="B2" s="13" t="s">
        <v>529</v>
      </c>
    </row>
    <row r="4" spans="2:28" ht="14.1" customHeight="1" thickBot="1">
      <c r="B4" s="145" t="s">
        <v>331</v>
      </c>
      <c r="C4" s="185" t="s">
        <v>253</v>
      </c>
      <c r="D4" s="185" t="s">
        <v>254</v>
      </c>
      <c r="E4" s="185" t="s">
        <v>255</v>
      </c>
      <c r="F4" s="185" t="s">
        <v>266</v>
      </c>
      <c r="G4" s="185" t="s">
        <v>275</v>
      </c>
      <c r="H4" s="185" t="s">
        <v>322</v>
      </c>
      <c r="I4" s="185" t="s">
        <v>327</v>
      </c>
      <c r="J4" s="185" t="s">
        <v>335</v>
      </c>
      <c r="K4" s="185" t="s">
        <v>347</v>
      </c>
      <c r="L4" s="185" t="s">
        <v>359</v>
      </c>
      <c r="M4" s="185" t="s">
        <v>371</v>
      </c>
      <c r="N4" s="185" t="s">
        <v>373</v>
      </c>
      <c r="O4" s="185" t="s">
        <v>409</v>
      </c>
      <c r="P4" s="185" t="s">
        <v>455</v>
      </c>
      <c r="Q4" s="185" t="s">
        <v>467</v>
      </c>
      <c r="R4" s="185" t="s">
        <v>472</v>
      </c>
      <c r="S4" s="185" t="s">
        <v>478</v>
      </c>
      <c r="T4" s="185" t="s">
        <v>530</v>
      </c>
      <c r="U4" s="185" t="s">
        <v>584</v>
      </c>
      <c r="V4" s="185" t="s">
        <v>639</v>
      </c>
      <c r="W4" s="185" t="s">
        <v>660</v>
      </c>
      <c r="X4" s="185" t="s">
        <v>684</v>
      </c>
      <c r="Y4" s="185" t="s">
        <v>842</v>
      </c>
      <c r="Z4" s="185" t="s">
        <v>891</v>
      </c>
      <c r="AA4" s="185" t="s">
        <v>919</v>
      </c>
      <c r="AB4" s="185" t="s">
        <v>922</v>
      </c>
    </row>
    <row r="5" spans="2:28" ht="14.1" customHeight="1" thickTop="1">
      <c r="B5" s="25"/>
      <c r="C5" s="117"/>
      <c r="D5" s="117"/>
      <c r="E5" s="117"/>
      <c r="F5" s="117"/>
      <c r="G5" s="117"/>
      <c r="H5" s="117"/>
      <c r="I5" s="117"/>
      <c r="J5" s="117"/>
      <c r="K5" s="117"/>
      <c r="L5" s="117"/>
      <c r="M5" s="117"/>
      <c r="N5" s="117"/>
      <c r="O5" s="117"/>
      <c r="P5" s="117"/>
      <c r="Q5" s="117"/>
      <c r="R5" s="117"/>
      <c r="S5" s="117"/>
      <c r="T5" s="117"/>
      <c r="U5" s="117"/>
      <c r="V5" s="117"/>
      <c r="W5" s="117"/>
      <c r="X5" s="117"/>
      <c r="Y5" s="117"/>
      <c r="Z5" s="117"/>
    </row>
    <row r="6" spans="2:28" ht="14.1" customHeight="1">
      <c r="B6" s="159" t="s">
        <v>329</v>
      </c>
      <c r="C6" s="118"/>
      <c r="D6" s="116"/>
      <c r="E6" s="116"/>
      <c r="F6" s="116"/>
      <c r="G6" s="116"/>
      <c r="H6" s="116"/>
      <c r="I6" s="116"/>
      <c r="J6" s="116"/>
      <c r="K6" s="116"/>
      <c r="L6" s="116"/>
      <c r="M6" s="116"/>
      <c r="N6" s="116"/>
      <c r="O6" s="116"/>
      <c r="P6" s="116"/>
      <c r="Q6" s="116"/>
      <c r="R6" s="116"/>
      <c r="S6" s="116"/>
      <c r="T6" s="116"/>
      <c r="U6" s="116"/>
      <c r="V6" s="116"/>
      <c r="W6" s="116"/>
      <c r="X6" s="116"/>
      <c r="Y6" s="116"/>
      <c r="Z6" s="116"/>
      <c r="AA6" s="116"/>
      <c r="AB6" s="116"/>
    </row>
    <row r="7" spans="2:28" ht="14.1" customHeight="1">
      <c r="B7" s="25" t="s">
        <v>729</v>
      </c>
      <c r="C7" s="117">
        <v>558817.95431900001</v>
      </c>
      <c r="D7" s="117">
        <v>207527.90100099999</v>
      </c>
      <c r="E7" s="117">
        <v>160050.28237100001</v>
      </c>
      <c r="F7" s="117">
        <v>140934.412369</v>
      </c>
      <c r="G7" s="117">
        <v>137272.98135399999</v>
      </c>
      <c r="H7" s="117">
        <v>127201.342126</v>
      </c>
      <c r="I7" s="117">
        <v>170891.721364</v>
      </c>
      <c r="J7" s="117">
        <v>186410.24325199999</v>
      </c>
      <c r="K7" s="117">
        <v>242946.0589</v>
      </c>
      <c r="L7" s="117">
        <v>213297.236297</v>
      </c>
      <c r="M7" s="117">
        <v>260867.26282199999</v>
      </c>
      <c r="N7" s="117">
        <v>294462.85795799998</v>
      </c>
      <c r="O7" s="117">
        <v>289388.80268299999</v>
      </c>
      <c r="P7" s="117">
        <v>219719.08343100001</v>
      </c>
      <c r="Q7" s="117">
        <v>206740.919796</v>
      </c>
      <c r="R7" s="117">
        <v>172755.62778899999</v>
      </c>
      <c r="S7" s="117">
        <v>228285.049799</v>
      </c>
      <c r="T7" s="117">
        <v>226078.212073</v>
      </c>
      <c r="U7" s="117">
        <v>140051.36171200001</v>
      </c>
      <c r="V7" s="117">
        <v>131186.26703700001</v>
      </c>
      <c r="W7" s="117">
        <v>173385.55029700001</v>
      </c>
      <c r="X7" s="117">
        <v>119399.33382999999</v>
      </c>
      <c r="Y7" s="117">
        <v>121333.82881600002</v>
      </c>
      <c r="Z7" s="117">
        <v>243360.22657499998</v>
      </c>
      <c r="AA7" s="117">
        <v>329083.462</v>
      </c>
      <c r="AB7" s="117">
        <v>148648.728</v>
      </c>
    </row>
    <row r="8" spans="2:28" ht="14.1" customHeight="1">
      <c r="B8" s="25" t="s">
        <v>333</v>
      </c>
      <c r="C8" s="129">
        <v>137929.459371</v>
      </c>
      <c r="D8" s="129">
        <v>117240.177538</v>
      </c>
      <c r="E8" s="129">
        <v>93597.319130999997</v>
      </c>
      <c r="F8" s="129">
        <v>96333.233391000002</v>
      </c>
      <c r="G8" s="129">
        <v>140785.268251</v>
      </c>
      <c r="H8" s="129">
        <v>151057.96332099999</v>
      </c>
      <c r="I8" s="129">
        <v>152422.321707</v>
      </c>
      <c r="J8" s="129">
        <v>151122.44394699999</v>
      </c>
      <c r="K8" s="129">
        <v>87275.596462000001</v>
      </c>
      <c r="L8" s="129">
        <v>78411.290305000002</v>
      </c>
      <c r="M8" s="129">
        <v>90152.021513</v>
      </c>
      <c r="N8" s="129">
        <v>103667.074308</v>
      </c>
      <c r="O8" s="129">
        <v>96657.566191000005</v>
      </c>
      <c r="P8" s="129">
        <v>95649.779014</v>
      </c>
      <c r="Q8" s="129">
        <v>87453.259198999993</v>
      </c>
      <c r="R8" s="129">
        <v>45018.684951000003</v>
      </c>
      <c r="S8" s="129">
        <v>45128.921642000001</v>
      </c>
      <c r="T8" s="129">
        <v>44853.753689999998</v>
      </c>
      <c r="U8" s="129">
        <v>47120.245823999998</v>
      </c>
      <c r="V8" s="129">
        <v>43899.923761999999</v>
      </c>
      <c r="W8" s="129">
        <v>45046.505240999999</v>
      </c>
      <c r="X8" s="129">
        <v>47160.119601000006</v>
      </c>
      <c r="Y8" s="129">
        <v>47861.213084999981</v>
      </c>
      <c r="Z8" s="129">
        <v>63439.058609</v>
      </c>
      <c r="AA8" s="129">
        <v>57998.362000000001</v>
      </c>
      <c r="AB8" s="129">
        <v>68764.835999999996</v>
      </c>
    </row>
    <row r="9" spans="2:28" ht="14.1" customHeight="1">
      <c r="B9" s="160" t="s">
        <v>727</v>
      </c>
      <c r="C9" s="154">
        <v>363834.16272199998</v>
      </c>
      <c r="D9" s="154">
        <v>244399.396117</v>
      </c>
      <c r="E9" s="154">
        <v>227234.558904</v>
      </c>
      <c r="F9" s="154">
        <v>256428.526006</v>
      </c>
      <c r="G9" s="154">
        <v>169322.86240400001</v>
      </c>
      <c r="H9" s="128">
        <v>142080.39178000001</v>
      </c>
      <c r="I9" s="128">
        <v>147425.000776</v>
      </c>
      <c r="J9" s="128">
        <v>162057.68868399999</v>
      </c>
      <c r="K9" s="128">
        <v>178846.29543299999</v>
      </c>
      <c r="L9" s="128">
        <v>155631.40786199999</v>
      </c>
      <c r="M9" s="128">
        <v>124973.08476899999</v>
      </c>
      <c r="N9" s="128">
        <v>123470.539097</v>
      </c>
      <c r="O9" s="128">
        <v>109912.922207</v>
      </c>
      <c r="P9" s="128">
        <v>118406.914309</v>
      </c>
      <c r="Q9" s="128">
        <v>109850.286127</v>
      </c>
      <c r="R9" s="128">
        <v>144720.887751</v>
      </c>
      <c r="S9" s="128">
        <v>122115.12026500001</v>
      </c>
      <c r="T9" s="128">
        <v>97447.858470000006</v>
      </c>
      <c r="U9" s="128">
        <v>73739.562237000006</v>
      </c>
      <c r="V9" s="128">
        <v>98446.754707</v>
      </c>
      <c r="W9" s="128">
        <v>158223.43059800001</v>
      </c>
      <c r="X9" s="128">
        <v>159559.89217299997</v>
      </c>
      <c r="Y9" s="128">
        <v>124272.61378000001</v>
      </c>
      <c r="Z9" s="128">
        <v>174771.30926300003</v>
      </c>
      <c r="AA9" s="128">
        <v>188664.122</v>
      </c>
      <c r="AB9" s="128">
        <v>176030.69099999999</v>
      </c>
    </row>
    <row r="10" spans="2:28" ht="14.1" customHeight="1">
      <c r="B10" s="17" t="s">
        <v>265</v>
      </c>
      <c r="C10" s="161"/>
      <c r="D10" s="161"/>
      <c r="E10" s="161"/>
      <c r="F10" s="161"/>
      <c r="G10" s="161"/>
      <c r="H10" s="161"/>
      <c r="I10" s="161"/>
      <c r="J10" s="161"/>
      <c r="K10" s="161"/>
      <c r="L10" s="161"/>
      <c r="M10" s="161"/>
      <c r="N10" s="161"/>
      <c r="O10" s="161"/>
      <c r="P10" s="161"/>
      <c r="Q10" s="161"/>
      <c r="R10" s="161"/>
      <c r="S10" s="161"/>
      <c r="T10" s="161"/>
      <c r="U10" s="161"/>
      <c r="V10" s="161"/>
      <c r="W10" s="161"/>
      <c r="X10" s="161"/>
      <c r="Y10" s="161"/>
      <c r="Z10" s="161"/>
    </row>
    <row r="11" spans="2:28" ht="14.1" customHeight="1">
      <c r="B11" s="25"/>
      <c r="C11" s="161"/>
      <c r="D11" s="161"/>
      <c r="E11" s="161"/>
      <c r="F11" s="161"/>
      <c r="G11" s="161"/>
      <c r="H11" s="161"/>
      <c r="I11" s="161"/>
      <c r="J11" s="161"/>
      <c r="K11" s="161"/>
      <c r="L11" s="161"/>
      <c r="M11" s="161"/>
      <c r="N11" s="161"/>
      <c r="O11" s="161"/>
      <c r="P11" s="161"/>
      <c r="Q11" s="161"/>
      <c r="R11" s="161"/>
      <c r="S11" s="161"/>
      <c r="T11" s="161"/>
      <c r="U11" s="161"/>
      <c r="V11" s="161"/>
      <c r="W11" s="161"/>
      <c r="X11" s="161"/>
      <c r="Y11" s="161"/>
      <c r="Z11" s="161"/>
    </row>
    <row r="12" spans="2:28" ht="14.1" customHeight="1">
      <c r="B12" s="159" t="s">
        <v>345</v>
      </c>
      <c r="C12" s="118"/>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B12" s="116"/>
    </row>
    <row r="13" spans="2:28" ht="14.1" customHeight="1">
      <c r="B13" s="25" t="s">
        <v>729</v>
      </c>
      <c r="C13" s="117"/>
      <c r="D13" s="117"/>
      <c r="E13" s="117"/>
      <c r="F13" s="117"/>
      <c r="G13" s="117"/>
      <c r="H13" s="117"/>
      <c r="I13" s="117"/>
      <c r="J13" s="117">
        <v>178949.14986899999</v>
      </c>
      <c r="K13" s="117">
        <v>196736.588143</v>
      </c>
      <c r="L13" s="117">
        <v>147061.07670500001</v>
      </c>
      <c r="M13" s="117">
        <v>200038</v>
      </c>
      <c r="N13" s="117">
        <v>220472.25244800001</v>
      </c>
      <c r="O13" s="117">
        <v>211740.073668</v>
      </c>
      <c r="P13" s="117">
        <v>144432.16680000001</v>
      </c>
      <c r="Q13" s="117">
        <v>138380.76934299999</v>
      </c>
      <c r="R13" s="117">
        <v>116448.577305</v>
      </c>
      <c r="S13" s="117">
        <v>175128.134445</v>
      </c>
      <c r="T13" s="117">
        <v>192528.33033</v>
      </c>
      <c r="U13" s="117">
        <v>99829.996190000005</v>
      </c>
      <c r="V13" s="117">
        <v>92763.218760999996</v>
      </c>
      <c r="W13" s="117">
        <v>134059.359731</v>
      </c>
      <c r="X13" s="117">
        <v>68210.306301999983</v>
      </c>
      <c r="Y13" s="117">
        <v>61901.960355999996</v>
      </c>
      <c r="Z13" s="117">
        <v>171370.85683500004</v>
      </c>
      <c r="AA13" s="117">
        <v>238775.22042200001</v>
      </c>
      <c r="AB13" s="117">
        <v>96716.387000000002</v>
      </c>
    </row>
    <row r="14" spans="2:28" ht="14.1" customHeight="1">
      <c r="B14" s="25" t="s">
        <v>369</v>
      </c>
      <c r="C14" s="129"/>
      <c r="D14" s="129"/>
      <c r="E14" s="129"/>
      <c r="F14" s="129"/>
      <c r="G14" s="129"/>
      <c r="H14" s="129"/>
      <c r="I14" s="129"/>
      <c r="J14" s="129">
        <v>93759.944793999995</v>
      </c>
      <c r="K14" s="129">
        <v>87275.596462000001</v>
      </c>
      <c r="L14" s="129">
        <v>78411.290305000002</v>
      </c>
      <c r="M14" s="129">
        <v>90152.021513</v>
      </c>
      <c r="N14" s="129">
        <v>103667.074308</v>
      </c>
      <c r="O14" s="129">
        <v>96657.566191000005</v>
      </c>
      <c r="P14" s="129">
        <v>95649.779014</v>
      </c>
      <c r="Q14" s="129">
        <v>87453.259198999993</v>
      </c>
      <c r="R14" s="129">
        <v>45018.684951000003</v>
      </c>
      <c r="S14" s="129">
        <v>45128.921642000001</v>
      </c>
      <c r="T14" s="129">
        <v>44853.753689999998</v>
      </c>
      <c r="U14" s="129">
        <v>47120.245823999998</v>
      </c>
      <c r="V14" s="129">
        <v>43899.923761999999</v>
      </c>
      <c r="W14" s="129">
        <v>45046.505240999999</v>
      </c>
      <c r="X14" s="129">
        <v>47160.119601000006</v>
      </c>
      <c r="Y14" s="129">
        <v>47861.213084999981</v>
      </c>
      <c r="Z14" s="129">
        <v>63439.058609</v>
      </c>
      <c r="AA14" s="129">
        <v>57998.362000000001</v>
      </c>
      <c r="AB14" s="129">
        <v>68764.835999999996</v>
      </c>
    </row>
    <row r="15" spans="2:28" ht="14.1" customHeight="1">
      <c r="B15" s="160" t="s">
        <v>727</v>
      </c>
      <c r="C15" s="128"/>
      <c r="D15" s="128"/>
      <c r="E15" s="128"/>
      <c r="F15" s="128"/>
      <c r="G15" s="128"/>
      <c r="H15" s="128"/>
      <c r="I15" s="128"/>
      <c r="J15" s="128">
        <v>50718.446497999998</v>
      </c>
      <c r="K15" s="128">
        <v>42438.439406999998</v>
      </c>
      <c r="L15" s="128">
        <v>45038.042861000002</v>
      </c>
      <c r="M15" s="128">
        <v>32300.580776999999</v>
      </c>
      <c r="N15" s="128">
        <v>56226.125279</v>
      </c>
      <c r="O15" s="128">
        <v>33585.609873000001</v>
      </c>
      <c r="P15" s="128">
        <v>39694.789291000001</v>
      </c>
      <c r="Q15" s="128">
        <v>18023.648032000001</v>
      </c>
      <c r="R15" s="128">
        <v>49030.831954000001</v>
      </c>
      <c r="S15" s="128">
        <v>27335.047308000001</v>
      </c>
      <c r="T15" s="128">
        <v>45197.548456999997</v>
      </c>
      <c r="U15" s="128">
        <v>23388.018484</v>
      </c>
      <c r="V15" s="128">
        <v>44742.246120999996</v>
      </c>
      <c r="W15" s="128">
        <v>80563.305747999999</v>
      </c>
      <c r="X15" s="128">
        <v>101481.610027</v>
      </c>
      <c r="Y15" s="128">
        <v>80750.982987999974</v>
      </c>
      <c r="Z15" s="128">
        <v>104799.796003</v>
      </c>
      <c r="AA15" s="128">
        <v>103698.149485</v>
      </c>
      <c r="AB15" s="128">
        <v>115832.29</v>
      </c>
    </row>
    <row r="16" spans="2:28" ht="14.1" customHeight="1">
      <c r="B16" s="17" t="s">
        <v>265</v>
      </c>
      <c r="C16" s="161"/>
      <c r="D16" s="161"/>
      <c r="E16" s="161"/>
      <c r="F16" s="161"/>
      <c r="G16" s="161"/>
      <c r="H16" s="161"/>
      <c r="I16" s="161"/>
      <c r="J16" s="161"/>
      <c r="K16" s="161"/>
      <c r="L16" s="161"/>
      <c r="M16" s="161"/>
      <c r="N16" s="161"/>
      <c r="O16" s="161"/>
      <c r="P16" s="161"/>
      <c r="Q16" s="161"/>
      <c r="R16" s="161"/>
      <c r="S16" s="161"/>
      <c r="T16" s="161"/>
      <c r="U16" s="161"/>
      <c r="V16" s="161"/>
      <c r="W16" s="161"/>
      <c r="X16" s="161"/>
      <c r="Y16" s="161"/>
      <c r="Z16" s="161"/>
      <c r="AA16" s="161"/>
      <c r="AB16" s="161"/>
    </row>
    <row r="17" spans="2:30" ht="14.1" customHeight="1">
      <c r="B17" s="17"/>
      <c r="C17" s="161"/>
      <c r="D17" s="161"/>
      <c r="E17" s="161"/>
      <c r="F17" s="161"/>
      <c r="G17" s="161"/>
      <c r="H17" s="161"/>
      <c r="I17" s="161"/>
      <c r="J17" s="161"/>
      <c r="K17" s="161"/>
      <c r="L17" s="161"/>
      <c r="M17" s="161"/>
      <c r="N17" s="161"/>
      <c r="O17" s="161"/>
      <c r="P17" s="161"/>
      <c r="Q17" s="161"/>
      <c r="R17" s="161"/>
      <c r="S17" s="161"/>
      <c r="T17" s="161"/>
      <c r="U17" s="161"/>
      <c r="V17" s="161"/>
      <c r="W17" s="161"/>
      <c r="X17" s="161"/>
      <c r="Y17" s="161"/>
      <c r="Z17" s="161"/>
      <c r="AA17" s="161"/>
      <c r="AB17" s="161"/>
      <c r="AD17" s="644"/>
    </row>
    <row r="18" spans="2:30" ht="14.1" customHeight="1">
      <c r="B18" s="159" t="s">
        <v>346</v>
      </c>
      <c r="C18" s="118"/>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row>
    <row r="19" spans="2:30" ht="14.1" customHeight="1">
      <c r="B19" s="25" t="s">
        <v>729</v>
      </c>
      <c r="C19" s="177"/>
      <c r="D19" s="177"/>
      <c r="E19" s="177"/>
      <c r="F19" s="177"/>
      <c r="G19" s="177"/>
      <c r="H19" s="177"/>
      <c r="I19" s="177"/>
      <c r="J19" s="177">
        <v>7461.0933830000004</v>
      </c>
      <c r="K19" s="177">
        <v>46209.470757000003</v>
      </c>
      <c r="L19" s="177">
        <v>66235.827674</v>
      </c>
      <c r="M19" s="177">
        <v>60815.104194</v>
      </c>
      <c r="N19" s="177">
        <v>73990.605509999994</v>
      </c>
      <c r="O19" s="177">
        <v>76489.435586000007</v>
      </c>
      <c r="P19" s="177">
        <v>76446.210059999998</v>
      </c>
      <c r="Q19" s="177">
        <v>68360.150452999995</v>
      </c>
      <c r="R19" s="177">
        <v>56307.050483999999</v>
      </c>
      <c r="S19" s="177">
        <v>53156.915353999997</v>
      </c>
      <c r="T19" s="177">
        <v>33549.881742999998</v>
      </c>
      <c r="U19" s="177">
        <v>40221.365522</v>
      </c>
      <c r="V19" s="177">
        <v>38423.048276000001</v>
      </c>
      <c r="W19" s="177">
        <v>39326.190565999997</v>
      </c>
      <c r="X19" s="177">
        <v>51189.027527999999</v>
      </c>
      <c r="Y19" s="177">
        <v>59406.261723999996</v>
      </c>
      <c r="Z19" s="177">
        <v>72014.976476000011</v>
      </c>
      <c r="AA19" s="177">
        <v>90308.241248000006</v>
      </c>
      <c r="AB19" s="177">
        <f>+AB7-AB13</f>
        <v>51932.341</v>
      </c>
    </row>
    <row r="20" spans="2:30" ht="14.1" customHeight="1">
      <c r="B20" s="25" t="s">
        <v>370</v>
      </c>
      <c r="C20" s="177"/>
      <c r="D20" s="177"/>
      <c r="E20" s="177"/>
      <c r="F20" s="177"/>
      <c r="G20" s="177"/>
      <c r="H20" s="177"/>
      <c r="I20" s="177"/>
      <c r="J20" s="177">
        <v>57362.499152999997</v>
      </c>
      <c r="K20" s="177">
        <v>0</v>
      </c>
      <c r="L20" s="177">
        <v>0</v>
      </c>
      <c r="M20" s="177">
        <v>0</v>
      </c>
      <c r="N20" s="177">
        <v>0</v>
      </c>
      <c r="O20" s="177">
        <v>0</v>
      </c>
      <c r="P20" s="177">
        <v>0</v>
      </c>
      <c r="Q20" s="177">
        <v>0</v>
      </c>
      <c r="R20" s="177">
        <v>0</v>
      </c>
      <c r="S20" s="177">
        <v>0</v>
      </c>
      <c r="T20" s="177">
        <v>0</v>
      </c>
      <c r="U20" s="177">
        <v>0</v>
      </c>
      <c r="V20" s="177">
        <v>0</v>
      </c>
      <c r="W20" s="177">
        <v>0</v>
      </c>
      <c r="X20" s="177">
        <v>0</v>
      </c>
      <c r="Y20" s="177">
        <v>0</v>
      </c>
      <c r="Z20" s="177">
        <v>0</v>
      </c>
      <c r="AA20" s="177">
        <v>0</v>
      </c>
      <c r="AB20" s="177">
        <f t="shared" ref="AB20:AB21" si="0">+AB8-AB14</f>
        <v>0</v>
      </c>
    </row>
    <row r="21" spans="2:30" ht="14.1" customHeight="1">
      <c r="B21" s="162" t="s">
        <v>728</v>
      </c>
      <c r="C21" s="178"/>
      <c r="D21" s="178"/>
      <c r="E21" s="178"/>
      <c r="F21" s="178"/>
      <c r="G21" s="178"/>
      <c r="H21" s="178"/>
      <c r="I21" s="178"/>
      <c r="J21" s="178">
        <v>111339.242186</v>
      </c>
      <c r="K21" s="178">
        <v>136407.85602599999</v>
      </c>
      <c r="L21" s="178">
        <v>110593.365001</v>
      </c>
      <c r="M21" s="178">
        <v>92672.503991999998</v>
      </c>
      <c r="N21" s="178">
        <v>67244.413818000001</v>
      </c>
      <c r="O21" s="178">
        <v>77486.605763</v>
      </c>
      <c r="P21" s="178">
        <v>77552.831588999994</v>
      </c>
      <c r="Q21" s="178">
        <v>91826.638095000002</v>
      </c>
      <c r="R21" s="178">
        <v>95690.055796999994</v>
      </c>
      <c r="S21" s="178">
        <v>94780.072956999997</v>
      </c>
      <c r="T21" s="178">
        <v>52250.310013000002</v>
      </c>
      <c r="U21" s="178">
        <v>50351.543752999998</v>
      </c>
      <c r="V21" s="178">
        <v>53704.508586000004</v>
      </c>
      <c r="W21" s="178">
        <v>77660.124849999993</v>
      </c>
      <c r="X21" s="178">
        <v>58078.282146000012</v>
      </c>
      <c r="Y21" s="178">
        <v>55523.710441999981</v>
      </c>
      <c r="Z21" s="178">
        <v>57969.433610000007</v>
      </c>
      <c r="AA21" s="178">
        <v>84965.972710999995</v>
      </c>
      <c r="AB21" s="178">
        <f t="shared" si="0"/>
        <v>60198.400999999998</v>
      </c>
    </row>
    <row r="22" spans="2:30" ht="14.1" customHeight="1">
      <c r="B22" s="25" t="s">
        <v>264</v>
      </c>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161"/>
    </row>
    <row r="23" spans="2:30" s="25" customFormat="1" ht="14.1" customHeight="1">
      <c r="C23" s="117"/>
      <c r="D23" s="117"/>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D23" s="92"/>
    </row>
    <row r="24" spans="2:30" ht="14.1" customHeight="1">
      <c r="B24" s="159" t="s">
        <v>330</v>
      </c>
      <c r="C24" s="118"/>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row>
    <row r="25" spans="2:30" ht="14.1" customHeight="1">
      <c r="B25" s="25" t="s">
        <v>729</v>
      </c>
      <c r="C25" s="117">
        <v>101073.78373700001</v>
      </c>
      <c r="D25" s="117">
        <v>50386.634037999997</v>
      </c>
      <c r="E25" s="117">
        <v>48784.659281</v>
      </c>
      <c r="F25" s="117">
        <v>42514.370387000003</v>
      </c>
      <c r="G25" s="117">
        <f>76044.600623-9512</f>
        <v>66532.600623000006</v>
      </c>
      <c r="H25" s="117">
        <f>35724.390097+9512</f>
        <v>45236.390097000003</v>
      </c>
      <c r="I25" s="117">
        <v>56069.245078</v>
      </c>
      <c r="J25" s="117">
        <v>79512.118501000004</v>
      </c>
      <c r="K25" s="117">
        <v>68610.400284999996</v>
      </c>
      <c r="L25" s="117">
        <v>43951.881950000003</v>
      </c>
      <c r="M25" s="117">
        <v>38087.529236000002</v>
      </c>
      <c r="N25" s="117">
        <v>64144.545041999998</v>
      </c>
      <c r="O25" s="117">
        <v>101182.19947399999</v>
      </c>
      <c r="P25" s="117">
        <v>79638.785793000003</v>
      </c>
      <c r="Q25" s="117">
        <v>77805.875362000006</v>
      </c>
      <c r="R25" s="117">
        <v>118845.42943800001</v>
      </c>
      <c r="S25" s="117">
        <v>194442.89943399999</v>
      </c>
      <c r="T25" s="117">
        <v>201220.52518500001</v>
      </c>
      <c r="U25" s="117">
        <v>99786.928490999999</v>
      </c>
      <c r="V25" s="117">
        <v>92763.218760999996</v>
      </c>
      <c r="W25" s="117">
        <v>134059.359731</v>
      </c>
      <c r="X25" s="117">
        <v>68210.306301999983</v>
      </c>
      <c r="Y25" s="117">
        <v>61927.567092000041</v>
      </c>
      <c r="Z25" s="117">
        <v>171345.250099</v>
      </c>
      <c r="AA25" s="117">
        <v>238775.22</v>
      </c>
      <c r="AB25" s="117">
        <v>96716.387000000002</v>
      </c>
    </row>
    <row r="26" spans="2:30" ht="14.1" customHeight="1">
      <c r="B26" s="25" t="s">
        <v>369</v>
      </c>
      <c r="C26" s="129">
        <v>95207.306549000001</v>
      </c>
      <c r="D26" s="129">
        <v>44747.807011999997</v>
      </c>
      <c r="E26" s="129">
        <v>21862.554</v>
      </c>
      <c r="F26" s="129">
        <v>28801.031951000001</v>
      </c>
      <c r="G26" s="129">
        <v>19812.875971000001</v>
      </c>
      <c r="H26" s="129">
        <v>21074.858447999999</v>
      </c>
      <c r="I26" s="129">
        <v>19399.879678000001</v>
      </c>
      <c r="J26" s="129">
        <v>24888.410638000001</v>
      </c>
      <c r="K26" s="129">
        <v>22613.558711999998</v>
      </c>
      <c r="L26" s="129">
        <v>22151.303500999999</v>
      </c>
      <c r="M26" s="129">
        <v>20081.720963</v>
      </c>
      <c r="N26" s="129">
        <v>24906.845495000001</v>
      </c>
      <c r="O26" s="129">
        <v>39459.123440000003</v>
      </c>
      <c r="P26" s="129">
        <v>43689.455379999999</v>
      </c>
      <c r="Q26" s="129">
        <v>44315.584925000003</v>
      </c>
      <c r="R26" s="129">
        <v>45018.684951000003</v>
      </c>
      <c r="S26" s="129">
        <v>45128.921642000001</v>
      </c>
      <c r="T26" s="129">
        <v>44853.753689999998</v>
      </c>
      <c r="U26" s="129">
        <v>47120.245823999998</v>
      </c>
      <c r="V26" s="129">
        <v>43899.923761999999</v>
      </c>
      <c r="W26" s="129">
        <v>45046.505240999999</v>
      </c>
      <c r="X26" s="129">
        <v>47160.119601000006</v>
      </c>
      <c r="Y26" s="129">
        <v>47861.213084999981</v>
      </c>
      <c r="Z26" s="129">
        <v>57914.95232500002</v>
      </c>
      <c r="AA26" s="129">
        <v>57998.362000000001</v>
      </c>
      <c r="AB26" s="129">
        <v>68764.835999999996</v>
      </c>
    </row>
    <row r="27" spans="2:30" ht="14.1" customHeight="1">
      <c r="B27" s="160" t="s">
        <v>727</v>
      </c>
      <c r="C27" s="128">
        <v>22195.708634999999</v>
      </c>
      <c r="D27" s="128">
        <v>19021.655527999999</v>
      </c>
      <c r="E27" s="128">
        <v>16542.926403000001</v>
      </c>
      <c r="F27" s="128">
        <v>20371.593844999999</v>
      </c>
      <c r="G27" s="128">
        <v>31807.317514999999</v>
      </c>
      <c r="H27" s="128">
        <v>33354.112728</v>
      </c>
      <c r="I27" s="128">
        <v>29601.215594000001</v>
      </c>
      <c r="J27" s="128">
        <v>37637.927534000002</v>
      </c>
      <c r="K27" s="128">
        <v>33858.921761999998</v>
      </c>
      <c r="L27" s="128">
        <v>31587.971458</v>
      </c>
      <c r="M27" s="128">
        <v>27997.979770000002</v>
      </c>
      <c r="N27" s="128">
        <v>49424.188443999999</v>
      </c>
      <c r="O27" s="128">
        <v>41319.303080999998</v>
      </c>
      <c r="P27" s="128">
        <v>31965.067611999999</v>
      </c>
      <c r="Q27" s="128">
        <v>18023.648032000001</v>
      </c>
      <c r="R27" s="128">
        <v>77231.878970999998</v>
      </c>
      <c r="S27" s="128">
        <v>27335.047308000001</v>
      </c>
      <c r="T27" s="128">
        <v>59731.937797999999</v>
      </c>
      <c r="U27" s="128">
        <v>23388.018484</v>
      </c>
      <c r="V27" s="128">
        <v>44742.246120999996</v>
      </c>
      <c r="W27" s="128">
        <v>80563.305747999999</v>
      </c>
      <c r="X27" s="128">
        <v>101481.610027</v>
      </c>
      <c r="Y27" s="128">
        <v>68748.903338000004</v>
      </c>
      <c r="Z27" s="128">
        <v>116801.87565299997</v>
      </c>
      <c r="AA27" s="128">
        <v>103698.149</v>
      </c>
      <c r="AB27" s="128">
        <v>115832.29</v>
      </c>
    </row>
    <row r="28" spans="2:30" ht="14.1" customHeight="1">
      <c r="B28" s="17" t="s">
        <v>265</v>
      </c>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row>
    <row r="29" spans="2:30" ht="14.1" customHeight="1">
      <c r="B29" s="17"/>
      <c r="C29" s="161"/>
      <c r="D29" s="161"/>
      <c r="E29" s="161"/>
      <c r="F29" s="161"/>
      <c r="G29" s="161"/>
      <c r="H29" s="161"/>
      <c r="I29" s="161"/>
      <c r="J29" s="161"/>
      <c r="K29" s="161"/>
      <c r="L29" s="161"/>
      <c r="M29" s="161"/>
      <c r="N29" s="161"/>
      <c r="O29" s="161"/>
      <c r="P29" s="161"/>
      <c r="Q29" s="161"/>
      <c r="R29" s="161"/>
      <c r="S29" s="161"/>
      <c r="T29" s="161"/>
      <c r="U29" s="161"/>
      <c r="V29" s="161"/>
      <c r="W29" s="161"/>
      <c r="X29" s="161"/>
      <c r="Y29" s="161"/>
      <c r="Z29" s="161"/>
    </row>
    <row r="30" spans="2:30" ht="14.1" customHeight="1">
      <c r="B30" s="163" t="s">
        <v>332</v>
      </c>
      <c r="C30" s="25"/>
      <c r="D30" s="25"/>
      <c r="E30" s="25"/>
      <c r="F30" s="25"/>
      <c r="G30" s="25"/>
      <c r="H30" s="25"/>
      <c r="I30" s="25"/>
      <c r="J30" s="25"/>
      <c r="K30" s="25"/>
      <c r="L30" s="25"/>
      <c r="M30" s="25"/>
      <c r="N30" s="25"/>
      <c r="O30" s="25"/>
      <c r="P30" s="25"/>
      <c r="Q30" s="25"/>
      <c r="R30" s="25"/>
      <c r="S30" s="25"/>
      <c r="T30" s="25"/>
      <c r="U30" s="25"/>
      <c r="V30" s="25"/>
      <c r="W30" s="25"/>
      <c r="X30" s="25"/>
      <c r="Y30" s="25"/>
      <c r="Z30" s="25"/>
    </row>
    <row r="31" spans="2:30" ht="14.1" customHeight="1">
      <c r="B31" s="17"/>
    </row>
    <row r="32" spans="2:30" ht="14.1" customHeight="1" thickBot="1">
      <c r="B32" s="145" t="s">
        <v>649</v>
      </c>
      <c r="E32" s="119">
        <v>2015</v>
      </c>
      <c r="F32" s="119">
        <v>2016</v>
      </c>
      <c r="G32" s="144" t="str">
        <f>+G$4</f>
        <v>1T17</v>
      </c>
      <c r="H32" s="144" t="str">
        <f t="shared" ref="H32:AB32" si="1">+H$4</f>
        <v>2T17</v>
      </c>
      <c r="I32" s="144" t="str">
        <f t="shared" si="1"/>
        <v>3T17</v>
      </c>
      <c r="J32" s="144" t="str">
        <f t="shared" si="1"/>
        <v>4T17</v>
      </c>
      <c r="K32" s="144" t="str">
        <f t="shared" si="1"/>
        <v>1T18</v>
      </c>
      <c r="L32" s="144" t="str">
        <f t="shared" si="1"/>
        <v>2T18</v>
      </c>
      <c r="M32" s="144" t="str">
        <f t="shared" si="1"/>
        <v>3T18</v>
      </c>
      <c r="N32" s="144" t="str">
        <f t="shared" si="1"/>
        <v>4T18</v>
      </c>
      <c r="O32" s="144" t="str">
        <f t="shared" si="1"/>
        <v>1T19</v>
      </c>
      <c r="P32" s="144" t="str">
        <f t="shared" si="1"/>
        <v>2T19</v>
      </c>
      <c r="Q32" s="144" t="str">
        <f t="shared" si="1"/>
        <v>3T19</v>
      </c>
      <c r="R32" s="144" t="str">
        <f t="shared" si="1"/>
        <v>4T19</v>
      </c>
      <c r="S32" s="144" t="str">
        <f t="shared" si="1"/>
        <v>1T20</v>
      </c>
      <c r="T32" s="144" t="str">
        <f t="shared" si="1"/>
        <v>2T20</v>
      </c>
      <c r="U32" s="144" t="str">
        <f t="shared" si="1"/>
        <v>3T20</v>
      </c>
      <c r="V32" s="144" t="str">
        <f t="shared" si="1"/>
        <v>4T20</v>
      </c>
      <c r="W32" s="144" t="str">
        <f t="shared" si="1"/>
        <v>1T21</v>
      </c>
      <c r="X32" s="144" t="str">
        <f t="shared" si="1"/>
        <v>2T21</v>
      </c>
      <c r="Y32" s="144" t="str">
        <f t="shared" si="1"/>
        <v>3T21</v>
      </c>
      <c r="Z32" s="144" t="str">
        <f t="shared" si="1"/>
        <v>4T21</v>
      </c>
      <c r="AA32" s="144" t="str">
        <f t="shared" si="1"/>
        <v>1T22</v>
      </c>
      <c r="AB32" s="144" t="str">
        <f t="shared" si="1"/>
        <v>2T22</v>
      </c>
    </row>
    <row r="33" spans="2:28" ht="14.1" customHeight="1" thickTop="1">
      <c r="G33" s="92"/>
      <c r="H33" s="92"/>
      <c r="I33" s="92"/>
      <c r="J33" s="92"/>
      <c r="K33" s="92"/>
      <c r="L33" s="92"/>
      <c r="M33" s="92"/>
      <c r="N33" s="92"/>
      <c r="O33" s="92"/>
      <c r="P33" s="92"/>
      <c r="Q33" s="92"/>
      <c r="R33" s="92"/>
      <c r="S33" s="92"/>
      <c r="T33" s="92"/>
      <c r="U33" s="92"/>
      <c r="V33" s="92"/>
      <c r="W33" s="92"/>
      <c r="X33" s="92"/>
      <c r="Y33" s="92"/>
      <c r="Z33" s="92"/>
    </row>
    <row r="34" spans="2:28" ht="14.1" customHeight="1">
      <c r="B34" s="104" t="s">
        <v>667</v>
      </c>
      <c r="E34" s="105"/>
      <c r="F34" s="105"/>
      <c r="I34" s="105"/>
      <c r="J34" s="105"/>
      <c r="K34" s="105"/>
      <c r="L34" s="105"/>
      <c r="M34" s="105"/>
      <c r="N34" s="105"/>
      <c r="O34" s="105"/>
      <c r="P34" s="105"/>
      <c r="Q34" s="105"/>
      <c r="R34" s="105"/>
      <c r="S34" s="105"/>
      <c r="T34" s="325"/>
      <c r="U34" s="325"/>
      <c r="V34" s="325"/>
      <c r="W34" s="325"/>
      <c r="X34" s="325"/>
      <c r="Y34" s="325"/>
      <c r="Z34" s="325"/>
    </row>
    <row r="35" spans="2:28" s="253" customFormat="1" ht="14.1" customHeight="1">
      <c r="B35" s="253" t="s">
        <v>640</v>
      </c>
      <c r="O35" s="253">
        <v>497946.04227800004</v>
      </c>
      <c r="P35" s="253">
        <v>451871.578438</v>
      </c>
      <c r="Q35" s="253">
        <v>430074.01990900002</v>
      </c>
      <c r="R35" s="253">
        <v>377776.962963</v>
      </c>
      <c r="S35" s="253">
        <v>458069.76457</v>
      </c>
      <c r="T35" s="177">
        <v>429964.455388</v>
      </c>
      <c r="U35" s="177">
        <v>315589.78765900002</v>
      </c>
      <c r="V35" s="177">
        <v>327439.47918999998</v>
      </c>
      <c r="W35" s="177">
        <v>377669.38595999999</v>
      </c>
      <c r="X35" s="177">
        <v>333585.14440600004</v>
      </c>
      <c r="Y35" s="177">
        <v>310166.46963399998</v>
      </c>
      <c r="Z35" s="177">
        <v>495218.96706900001</v>
      </c>
      <c r="AA35" s="177">
        <v>544489.05839300004</v>
      </c>
      <c r="AB35" s="177">
        <v>423368.65013999998</v>
      </c>
    </row>
    <row r="36" spans="2:28" s="253" customFormat="1" ht="14.1" customHeight="1">
      <c r="B36" s="341" t="s">
        <v>617</v>
      </c>
      <c r="O36" s="253">
        <v>-279253.63270099997</v>
      </c>
      <c r="P36" s="253">
        <v>-239830.40824399999</v>
      </c>
      <c r="Q36" s="253">
        <v>-220244.49236200002</v>
      </c>
      <c r="R36" s="253">
        <v>-155398.252748</v>
      </c>
      <c r="S36" s="253">
        <v>-223155.375092</v>
      </c>
      <c r="T36" s="177">
        <v>-236375.57830499997</v>
      </c>
      <c r="U36" s="177">
        <v>-153382.809691</v>
      </c>
      <c r="V36" s="177">
        <v>-144389.28044500001</v>
      </c>
      <c r="W36" s="177">
        <v>-164483.961217</v>
      </c>
      <c r="X36" s="177">
        <v>-152151.59809000001</v>
      </c>
      <c r="Y36" s="177">
        <v>-150431.44069299998</v>
      </c>
      <c r="Z36" s="177">
        <v>-217174.70614599995</v>
      </c>
      <c r="AA36" s="177">
        <v>-228450.58264099999</v>
      </c>
      <c r="AB36" s="177">
        <v>-174060.92329899999</v>
      </c>
    </row>
    <row r="37" spans="2:28" s="253" customFormat="1" ht="14.1" customHeight="1">
      <c r="B37" s="341" t="s">
        <v>618</v>
      </c>
      <c r="O37" s="253">
        <v>-79932.564075000002</v>
      </c>
      <c r="P37" s="253">
        <v>-90811.118557000009</v>
      </c>
      <c r="Q37" s="253">
        <v>-82735.006694000011</v>
      </c>
      <c r="R37" s="253">
        <v>-59050.591374999996</v>
      </c>
      <c r="S37" s="253">
        <v>-53655.547766000003</v>
      </c>
      <c r="T37" s="177">
        <v>-47963.507798999999</v>
      </c>
      <c r="U37" s="177">
        <v>-57630.922188999997</v>
      </c>
      <c r="V37" s="177">
        <v>-65514.174880000006</v>
      </c>
      <c r="W37" s="177">
        <v>-53363.603939000001</v>
      </c>
      <c r="X37" s="177">
        <v>-62899.785425999995</v>
      </c>
      <c r="Y37" s="177">
        <v>-49566.610635000005</v>
      </c>
      <c r="Z37" s="177">
        <v>-74707.656569000013</v>
      </c>
      <c r="AA37" s="177">
        <v>-57819.902199000004</v>
      </c>
      <c r="AB37" s="177">
        <v>-51344.98373</v>
      </c>
    </row>
    <row r="38" spans="2:28" s="253" customFormat="1" ht="14.1" customHeight="1">
      <c r="B38" s="341" t="s">
        <v>619</v>
      </c>
      <c r="O38" s="253">
        <v>-25215.7863</v>
      </c>
      <c r="P38" s="253">
        <v>-30256.565991999996</v>
      </c>
      <c r="Q38" s="253">
        <v>-33620.284637000004</v>
      </c>
      <c r="R38" s="253">
        <v>-25414.309455000002</v>
      </c>
      <c r="S38" s="253">
        <v>-24111.746918000001</v>
      </c>
      <c r="T38" s="177">
        <v>-22463.563568999998</v>
      </c>
      <c r="U38" s="177">
        <v>-30741.806512000003</v>
      </c>
      <c r="V38" s="177">
        <v>-21766.668012000002</v>
      </c>
      <c r="W38" s="177">
        <v>-22632.938622999998</v>
      </c>
      <c r="X38" s="177">
        <v>-23958.037930000002</v>
      </c>
      <c r="Y38" s="177">
        <v>-25042.023447</v>
      </c>
      <c r="Z38" s="177">
        <v>-26838.160183999993</v>
      </c>
      <c r="AA38" s="177">
        <v>-25187.685785999998</v>
      </c>
      <c r="AB38" s="177">
        <v>-26390.539973999999</v>
      </c>
    </row>
    <row r="39" spans="2:28" s="253" customFormat="1" ht="14.1" customHeight="1">
      <c r="B39" s="253" t="s">
        <v>621</v>
      </c>
      <c r="O39" s="253">
        <v>156450.07250099999</v>
      </c>
      <c r="P39" s="253">
        <v>135757.76740899999</v>
      </c>
      <c r="Q39" s="253">
        <v>133717.987433</v>
      </c>
      <c r="R39" s="253">
        <v>164499.99167300001</v>
      </c>
      <c r="S39" s="253">
        <v>183562.42646699998</v>
      </c>
      <c r="T39" s="177">
        <v>149771.27422099997</v>
      </c>
      <c r="U39" s="177">
        <v>103130.799638</v>
      </c>
      <c r="V39" s="177">
        <v>122444.51731</v>
      </c>
      <c r="W39" s="177">
        <v>165542.49091600001</v>
      </c>
      <c r="X39" s="177">
        <v>126300.71601100001</v>
      </c>
      <c r="Y39" s="177">
        <v>105557.79307299998</v>
      </c>
      <c r="Z39" s="177">
        <v>204643.51386900002</v>
      </c>
      <c r="AA39" s="177">
        <v>260911.548033</v>
      </c>
      <c r="AB39" s="253">
        <v>199079.93567499999</v>
      </c>
    </row>
    <row r="40" spans="2:28" s="253" customFormat="1" ht="14.1" customHeight="1">
      <c r="B40" s="341" t="s">
        <v>620</v>
      </c>
      <c r="O40" s="253">
        <v>-42906.013311000002</v>
      </c>
      <c r="P40" s="253">
        <v>-44784.282419000003</v>
      </c>
      <c r="Q40" s="253">
        <v>-40243.750061999999</v>
      </c>
      <c r="R40" s="253">
        <v>-26586.182288</v>
      </c>
      <c r="S40" s="253">
        <v>-26415.331673000001</v>
      </c>
      <c r="T40" s="177">
        <v>-26609.468505999997</v>
      </c>
      <c r="U40" s="177">
        <v>-29296.550369000001</v>
      </c>
      <c r="V40" s="177">
        <v>-26675.161457000002</v>
      </c>
      <c r="W40" s="177">
        <v>-28353.608735000002</v>
      </c>
      <c r="X40" s="177">
        <v>-31724.993050999998</v>
      </c>
      <c r="Y40" s="177">
        <v>-20430.398214000001</v>
      </c>
      <c r="Z40" s="177">
        <v>-28146.069699</v>
      </c>
      <c r="AA40" s="177">
        <v>-27880.660265999999</v>
      </c>
      <c r="AB40" s="253">
        <v>-27507.732538</v>
      </c>
    </row>
    <row r="41" spans="2:28" s="105" customFormat="1" ht="14.1" customHeight="1">
      <c r="B41" s="105" t="s">
        <v>622</v>
      </c>
      <c r="O41" s="105">
        <v>0.31401368988315909</v>
      </c>
      <c r="P41" s="105">
        <v>0.29866474027241047</v>
      </c>
      <c r="Q41" s="105">
        <v>0.32024093338277604</v>
      </c>
      <c r="R41" s="105">
        <v>0.43669021763445914</v>
      </c>
      <c r="S41" s="105">
        <v>0.40488269384790715</v>
      </c>
      <c r="T41" s="325">
        <v>0.35530803629263669</v>
      </c>
      <c r="U41" s="325">
        <v>0.32619724470503325</v>
      </c>
      <c r="V41" s="325">
        <v>0.3745657393763413</v>
      </c>
      <c r="W41" s="325">
        <f t="shared" ref="W41:AA41" si="2">W39/W35</f>
        <v>0.43832647566920629</v>
      </c>
      <c r="X41" s="325">
        <f t="shared" si="2"/>
        <v>0.37861612883240942</v>
      </c>
      <c r="Y41" s="325">
        <f t="shared" si="2"/>
        <v>0.34032625511571057</v>
      </c>
      <c r="Z41" s="325">
        <f t="shared" si="2"/>
        <v>0.4132384409268528</v>
      </c>
      <c r="AA41" s="325">
        <f t="shared" si="2"/>
        <v>0.47918602589196546</v>
      </c>
      <c r="AB41" s="325">
        <v>0.47022833553964855</v>
      </c>
    </row>
    <row r="42" spans="2:28" s="253" customFormat="1" ht="14.1" customHeight="1">
      <c r="U42" s="177"/>
      <c r="V42" s="177"/>
      <c r="W42" s="177"/>
      <c r="X42" s="177"/>
      <c r="Y42" s="177"/>
      <c r="Z42" s="177"/>
      <c r="AA42" s="177"/>
    </row>
    <row r="43" spans="2:28" s="253" customFormat="1" ht="14.1" customHeight="1">
      <c r="B43" s="339" t="s">
        <v>676</v>
      </c>
      <c r="U43" s="177"/>
      <c r="V43" s="177"/>
      <c r="W43" s="177"/>
      <c r="X43" s="325"/>
      <c r="Y43" s="325"/>
      <c r="Z43" s="325"/>
      <c r="AA43" s="325"/>
      <c r="AB43" s="177"/>
    </row>
    <row r="44" spans="2:28" s="253" customFormat="1" ht="14.1" customHeight="1">
      <c r="B44" s="253" t="s">
        <v>641</v>
      </c>
      <c r="O44" s="253">
        <v>399404.68361000001</v>
      </c>
      <c r="P44" s="253">
        <v>549334.179244</v>
      </c>
      <c r="Q44" s="253">
        <v>733703.51133299991</v>
      </c>
      <c r="R44" s="253">
        <v>756901.62364999996</v>
      </c>
      <c r="S44" s="253">
        <v>691449.18379399995</v>
      </c>
      <c r="T44" s="253">
        <v>636256.43113099993</v>
      </c>
      <c r="U44" s="177">
        <v>678637.59484799998</v>
      </c>
      <c r="V44" s="177">
        <v>752033.63936599996</v>
      </c>
      <c r="W44" s="177">
        <v>727737.4960269999</v>
      </c>
      <c r="X44" s="177">
        <v>731044.09214500012</v>
      </c>
      <c r="Y44" s="177">
        <v>817054.94467599993</v>
      </c>
      <c r="Z44" s="177">
        <v>870198.41795299994</v>
      </c>
      <c r="AA44" s="177">
        <f>881113.712988+20.601364</f>
        <v>881134.31435200002</v>
      </c>
      <c r="AB44" s="177">
        <v>894705.567561</v>
      </c>
    </row>
    <row r="45" spans="2:28" s="253" customFormat="1" ht="14.1" customHeight="1">
      <c r="B45" s="341" t="s">
        <v>585</v>
      </c>
      <c r="O45" s="253">
        <v>-250232.28801199998</v>
      </c>
      <c r="P45" s="253">
        <v>-351522.38352200005</v>
      </c>
      <c r="Q45" s="253">
        <v>-489884.43966700003</v>
      </c>
      <c r="R45" s="253">
        <v>-470314.63160300005</v>
      </c>
      <c r="S45" s="253">
        <v>-481716.72856899997</v>
      </c>
      <c r="T45" s="253">
        <v>-413721.26193499996</v>
      </c>
      <c r="U45" s="177">
        <v>-447435.49256099999</v>
      </c>
      <c r="V45" s="177">
        <v>-488174.436812</v>
      </c>
      <c r="W45" s="177">
        <v>-481040.629717</v>
      </c>
      <c r="X45" s="177">
        <v>-481785.60137499997</v>
      </c>
      <c r="Y45" s="177">
        <v>-542758.89199100004</v>
      </c>
      <c r="Z45" s="177">
        <v>-581637.98374400008</v>
      </c>
      <c r="AA45" s="177">
        <v>-582181.31665399997</v>
      </c>
      <c r="AB45" s="177">
        <v>-546913.79599400004</v>
      </c>
    </row>
    <row r="46" spans="2:28" s="253" customFormat="1" ht="14.1" customHeight="1">
      <c r="B46" s="341" t="s">
        <v>586</v>
      </c>
      <c r="O46" s="253">
        <v>-71856.223434999993</v>
      </c>
      <c r="P46" s="253">
        <v>-81455.547358000011</v>
      </c>
      <c r="Q46" s="253">
        <v>-105128.350263</v>
      </c>
      <c r="R46" s="253">
        <v>-104668.366369</v>
      </c>
      <c r="S46" s="253">
        <v>-107705.22658399999</v>
      </c>
      <c r="T46" s="253">
        <v>-94811.808885000006</v>
      </c>
      <c r="U46" s="177">
        <v>-112729.62540799999</v>
      </c>
      <c r="V46" s="177">
        <v>-114527.83580900001</v>
      </c>
      <c r="W46" s="177">
        <v>-124901.679562</v>
      </c>
      <c r="X46" s="177">
        <v>-124392.58264299999</v>
      </c>
      <c r="Y46" s="177">
        <v>-131410.20778500001</v>
      </c>
      <c r="Z46" s="177">
        <v>-138183.53038900002</v>
      </c>
      <c r="AA46" s="177">
        <v>-151354.73600700009</v>
      </c>
      <c r="AB46" s="177">
        <v>-152831.931905</v>
      </c>
    </row>
    <row r="47" spans="2:28" s="253" customFormat="1" ht="14.1" customHeight="1">
      <c r="B47" s="341" t="s">
        <v>587</v>
      </c>
      <c r="O47" s="253">
        <v>-22495.831145999997</v>
      </c>
      <c r="P47" s="253">
        <v>-30624.694251999998</v>
      </c>
      <c r="Q47" s="253">
        <v>-36993.279924000002</v>
      </c>
      <c r="R47" s="253">
        <v>-45592.833010000002</v>
      </c>
      <c r="S47" s="253">
        <v>-34740.819918000001</v>
      </c>
      <c r="T47" s="253">
        <v>-41441.310911</v>
      </c>
      <c r="U47" s="177">
        <v>-56065.137684000001</v>
      </c>
      <c r="V47" s="177">
        <v>-32107.849457999997</v>
      </c>
      <c r="W47" s="177">
        <v>-42907.793322000005</v>
      </c>
      <c r="X47" s="177">
        <v>-36148.363281999991</v>
      </c>
      <c r="Y47" s="177">
        <v>-41045.868396000005</v>
      </c>
      <c r="Z47" s="177">
        <v>-50132.02232399999</v>
      </c>
      <c r="AA47" s="177">
        <v>-42806.004089000002</v>
      </c>
      <c r="AB47" s="177">
        <v>-49210.812833999997</v>
      </c>
    </row>
    <row r="48" spans="2:28" s="339" customFormat="1" ht="14.1" customHeight="1">
      <c r="B48" s="339" t="s">
        <v>589</v>
      </c>
      <c r="O48" s="339">
        <v>81419.717954000007</v>
      </c>
      <c r="P48" s="339">
        <v>121947.08638299999</v>
      </c>
      <c r="Q48" s="339">
        <v>149204.77958199999</v>
      </c>
      <c r="R48" s="339">
        <v>180404.72651900002</v>
      </c>
      <c r="S48" s="339">
        <v>107430.77281699999</v>
      </c>
      <c r="T48" s="339">
        <v>126805.73254200001</v>
      </c>
      <c r="U48" s="340">
        <v>105250.569346</v>
      </c>
      <c r="V48" s="340">
        <v>162921.56102400002</v>
      </c>
      <c r="W48" s="340">
        <v>123594.28443999987</v>
      </c>
      <c r="X48" s="340">
        <v>135710.13394699999</v>
      </c>
      <c r="Y48" s="340">
        <v>148778.518522</v>
      </c>
      <c r="Z48" s="340">
        <v>152594.89958500001</v>
      </c>
      <c r="AA48" s="340">
        <f>+SUM(AA44:AA47)-AA49</f>
        <v>156292.34804199997</v>
      </c>
      <c r="AB48" s="340">
        <v>197510.13934399997</v>
      </c>
    </row>
    <row r="49" spans="2:28" s="253" customFormat="1" ht="14.1" customHeight="1">
      <c r="B49" s="341" t="s">
        <v>588</v>
      </c>
      <c r="O49" s="253">
        <v>-26599.376940000002</v>
      </c>
      <c r="P49" s="253">
        <v>-36215.532270999996</v>
      </c>
      <c r="Q49" s="253">
        <v>-47507.338103000002</v>
      </c>
      <c r="R49" s="253">
        <v>-44078.933851000002</v>
      </c>
      <c r="S49" s="253">
        <v>-40144.364094000004</v>
      </c>
      <c r="T49" s="253">
        <v>-40523.683141999994</v>
      </c>
      <c r="U49" s="177">
        <v>-42843.230150999996</v>
      </c>
      <c r="V49" s="177">
        <v>-45698.043737</v>
      </c>
      <c r="W49" s="177">
        <v>-44706.891014000001</v>
      </c>
      <c r="X49" s="177">
        <v>-46992.589102000005</v>
      </c>
      <c r="Y49" s="177">
        <v>-46938.542017999993</v>
      </c>
      <c r="Z49" s="177">
        <v>-52350.01808899999</v>
      </c>
      <c r="AA49" s="177">
        <v>-51500.09044</v>
      </c>
      <c r="AB49" s="177">
        <v>-51761.112516000001</v>
      </c>
    </row>
    <row r="50" spans="2:28" s="105" customFormat="1" ht="14.1" customHeight="1">
      <c r="B50" s="105" t="s">
        <v>583</v>
      </c>
      <c r="O50" s="325">
        <f t="shared" ref="O50:T50" si="3">O48/O44</f>
        <v>0.20385268699929054</v>
      </c>
      <c r="P50" s="325">
        <f t="shared" si="3"/>
        <v>0.22199071346848465</v>
      </c>
      <c r="Q50" s="325">
        <f t="shared" si="3"/>
        <v>0.20335841014434189</v>
      </c>
      <c r="R50" s="325">
        <f t="shared" si="3"/>
        <v>0.23834633310605929</v>
      </c>
      <c r="S50" s="325">
        <f t="shared" si="3"/>
        <v>0.15537045286180612</v>
      </c>
      <c r="T50" s="325">
        <f t="shared" si="3"/>
        <v>0.19929972623866771</v>
      </c>
      <c r="U50" s="325">
        <f t="shared" ref="U50:V50" si="4">U48/U44</f>
        <v>0.15509097955230999</v>
      </c>
      <c r="V50" s="325">
        <f t="shared" si="4"/>
        <v>0.21664132094057739</v>
      </c>
      <c r="W50" s="325">
        <f>W48/W44</f>
        <v>0.16983360774283146</v>
      </c>
      <c r="X50" s="325">
        <f>X48/X44</f>
        <v>0.18563878075918072</v>
      </c>
      <c r="Y50" s="325">
        <f>Y48/Y44</f>
        <v>0.18209120389204372</v>
      </c>
      <c r="Z50" s="325">
        <f>Z48/Z44</f>
        <v>0.17535644335455661</v>
      </c>
      <c r="AA50" s="325">
        <f>AA48/AA44</f>
        <v>0.17737630403934479</v>
      </c>
      <c r="AB50" s="325">
        <v>0.22075434255139353</v>
      </c>
    </row>
    <row r="51" spans="2:28" s="253" customFormat="1" ht="14.1" customHeight="1">
      <c r="B51" s="253" t="s">
        <v>650</v>
      </c>
      <c r="R51" s="177"/>
      <c r="U51" s="177"/>
      <c r="V51" s="177"/>
      <c r="W51" s="177"/>
      <c r="X51" s="177"/>
      <c r="Y51" s="177"/>
      <c r="Z51" s="177"/>
      <c r="AA51" s="177"/>
      <c r="AB51" s="177"/>
    </row>
    <row r="52" spans="2:28" s="253" customFormat="1" ht="14.1" customHeight="1">
      <c r="R52" s="177"/>
      <c r="U52" s="177"/>
      <c r="V52" s="177"/>
      <c r="W52" s="177"/>
      <c r="X52" s="177"/>
      <c r="Y52" s="177"/>
      <c r="Z52" s="177"/>
      <c r="AA52" s="177"/>
      <c r="AB52" s="177"/>
    </row>
    <row r="53" spans="2:28" ht="14.1" customHeight="1">
      <c r="B53" s="104" t="s">
        <v>848</v>
      </c>
      <c r="E53" s="105"/>
      <c r="G53" s="106">
        <v>48081.932357662707</v>
      </c>
      <c r="H53" s="106">
        <v>56770.666070784479</v>
      </c>
      <c r="I53" s="106">
        <v>86557.958818854386</v>
      </c>
      <c r="J53" s="106">
        <v>69363.672882444662</v>
      </c>
      <c r="K53" s="106">
        <v>79907.21827994741</v>
      </c>
      <c r="L53" s="106">
        <v>60652.481565916343</v>
      </c>
      <c r="M53" s="106">
        <v>60933.002488261365</v>
      </c>
      <c r="N53" s="106">
        <v>54775.075917658251</v>
      </c>
      <c r="O53" s="106">
        <v>37842.820965046936</v>
      </c>
      <c r="P53" s="106">
        <v>29452.734634377437</v>
      </c>
      <c r="Q53" s="117">
        <v>37621.410564312799</v>
      </c>
      <c r="R53" s="117">
        <v>34412.865686831763</v>
      </c>
      <c r="S53" s="117">
        <v>40076.257112802239</v>
      </c>
      <c r="T53" s="117">
        <v>37070.961980077991</v>
      </c>
      <c r="U53" s="117">
        <v>50020.922389526793</v>
      </c>
      <c r="V53" s="117">
        <v>51837.257329113629</v>
      </c>
      <c r="W53" s="117">
        <v>47182.936970589537</v>
      </c>
      <c r="X53" s="117">
        <v>52027.483463881981</v>
      </c>
      <c r="Y53" s="117">
        <v>63541.167326976087</v>
      </c>
      <c r="Z53" s="117">
        <v>47159.028981552401</v>
      </c>
      <c r="AA53" s="117">
        <v>37553.641843999998</v>
      </c>
      <c r="AB53" s="117">
        <v>61394.907208219069</v>
      </c>
    </row>
    <row r="54" spans="2:28" ht="14.1" customHeight="1">
      <c r="E54" s="105"/>
      <c r="F54" s="105"/>
      <c r="G54" s="338"/>
      <c r="H54" s="338"/>
      <c r="I54" s="338"/>
      <c r="J54" s="338"/>
      <c r="K54" s="338"/>
      <c r="L54" s="338"/>
      <c r="M54" s="338"/>
      <c r="N54" s="338"/>
      <c r="O54" s="338"/>
      <c r="P54" s="338"/>
      <c r="Q54" s="338"/>
      <c r="R54" s="338"/>
      <c r="S54" s="338"/>
      <c r="T54" s="338"/>
      <c r="U54" s="338"/>
      <c r="V54" s="338"/>
      <c r="W54" s="338"/>
      <c r="X54" s="338"/>
      <c r="Y54" s="338"/>
      <c r="Z54" s="338"/>
    </row>
    <row r="55" spans="2:28" ht="14.1" customHeight="1">
      <c r="E55" s="105"/>
      <c r="F55" s="105"/>
      <c r="I55" s="105"/>
      <c r="J55" s="105"/>
      <c r="K55" s="105"/>
      <c r="L55" s="105"/>
      <c r="M55" s="105"/>
      <c r="N55" s="105"/>
      <c r="O55" s="105"/>
      <c r="P55" s="105"/>
      <c r="Q55" s="105"/>
      <c r="R55" s="105"/>
      <c r="S55" s="105"/>
      <c r="T55" s="105"/>
      <c r="U55" s="105"/>
      <c r="V55" s="105"/>
      <c r="W55" s="105"/>
      <c r="X55" s="105"/>
      <c r="Y55" s="105"/>
      <c r="Z55" s="105"/>
    </row>
    <row r="56" spans="2:28" ht="14.1" customHeight="1" thickBot="1">
      <c r="B56" s="145" t="s">
        <v>377</v>
      </c>
      <c r="E56" s="119"/>
      <c r="F56" s="119"/>
      <c r="G56" s="144" t="str">
        <f>+G$4</f>
        <v>1T17</v>
      </c>
      <c r="H56" s="144" t="str">
        <f t="shared" ref="H56:T56" si="5">+H$4</f>
        <v>2T17</v>
      </c>
      <c r="I56" s="144" t="str">
        <f t="shared" si="5"/>
        <v>3T17</v>
      </c>
      <c r="J56" s="144" t="str">
        <f t="shared" si="5"/>
        <v>4T17</v>
      </c>
      <c r="K56" s="144" t="str">
        <f t="shared" si="5"/>
        <v>1T18</v>
      </c>
      <c r="L56" s="144" t="str">
        <f t="shared" si="5"/>
        <v>2T18</v>
      </c>
      <c r="M56" s="144" t="str">
        <f t="shared" si="5"/>
        <v>3T18</v>
      </c>
      <c r="N56" s="144" t="str">
        <f t="shared" si="5"/>
        <v>4T18</v>
      </c>
      <c r="O56" s="144" t="str">
        <f t="shared" si="5"/>
        <v>1T19</v>
      </c>
      <c r="P56" s="144" t="str">
        <f t="shared" si="5"/>
        <v>2T19</v>
      </c>
      <c r="Q56" s="144" t="str">
        <f t="shared" si="5"/>
        <v>3T19</v>
      </c>
      <c r="R56" s="144" t="str">
        <f t="shared" si="5"/>
        <v>4T19</v>
      </c>
      <c r="S56" s="144" t="str">
        <f t="shared" si="5"/>
        <v>1T20</v>
      </c>
      <c r="T56" s="144" t="str">
        <f t="shared" si="5"/>
        <v>2T20</v>
      </c>
      <c r="U56" s="144" t="s">
        <v>584</v>
      </c>
      <c r="V56" s="144" t="s">
        <v>639</v>
      </c>
      <c r="W56" s="144" t="s">
        <v>660</v>
      </c>
      <c r="X56" s="144" t="str">
        <f>+X4</f>
        <v>2T21</v>
      </c>
      <c r="Y56" s="144" t="str">
        <f>+Y4</f>
        <v>3T21</v>
      </c>
      <c r="Z56" s="144" t="str">
        <f>+Z4</f>
        <v>4T21</v>
      </c>
      <c r="AA56" s="144" t="str">
        <f>+AA4</f>
        <v>1T22</v>
      </c>
      <c r="AB56" s="144" t="str">
        <f>+AB4</f>
        <v>2T22</v>
      </c>
    </row>
    <row r="57" spans="2:28" ht="14.1" customHeight="1" thickTop="1">
      <c r="C57" s="92"/>
      <c r="D57" s="92"/>
      <c r="E57" s="92"/>
      <c r="F57" s="92"/>
    </row>
    <row r="58" spans="2:28" ht="14.1" customHeight="1">
      <c r="B58" s="323" t="s">
        <v>378</v>
      </c>
    </row>
    <row r="59" spans="2:28" ht="14.1" customHeight="1">
      <c r="B59" s="92" t="s">
        <v>379</v>
      </c>
      <c r="C59" s="92"/>
      <c r="D59" s="92"/>
      <c r="E59" s="92"/>
      <c r="F59" s="92"/>
      <c r="G59" s="106">
        <v>331665</v>
      </c>
      <c r="H59" s="106">
        <v>301480</v>
      </c>
      <c r="I59" s="106">
        <v>324247</v>
      </c>
      <c r="J59" s="106">
        <v>335267</v>
      </c>
      <c r="K59" s="106">
        <v>394483</v>
      </c>
      <c r="L59" s="106">
        <v>381643</v>
      </c>
      <c r="M59" s="106">
        <v>425988</v>
      </c>
      <c r="N59" s="106">
        <v>415472</v>
      </c>
      <c r="O59" s="106">
        <v>410645.66600000003</v>
      </c>
      <c r="P59" s="106">
        <v>429683.18800000002</v>
      </c>
      <c r="Q59" s="106">
        <v>444527.22343300004</v>
      </c>
      <c r="R59" s="106">
        <v>381148.92299999995</v>
      </c>
      <c r="S59" s="106">
        <v>413587.538</v>
      </c>
      <c r="T59" s="117">
        <v>401835</v>
      </c>
      <c r="U59" s="117">
        <v>340697.25199999986</v>
      </c>
      <c r="V59" s="117">
        <v>361026.57328400016</v>
      </c>
      <c r="W59" s="117">
        <v>435032.435</v>
      </c>
      <c r="X59" s="117">
        <v>415604.67800000001</v>
      </c>
      <c r="Y59" s="117">
        <v>442072.08299999998</v>
      </c>
      <c r="Z59" s="117">
        <v>551408.804</v>
      </c>
      <c r="AA59" s="117">
        <v>614283.18000000005</v>
      </c>
      <c r="AB59" s="117">
        <v>508310.42599999998</v>
      </c>
    </row>
    <row r="60" spans="2:28" ht="14.1" customHeight="1">
      <c r="B60" s="92" t="s">
        <v>380</v>
      </c>
      <c r="C60" s="92"/>
      <c r="D60" s="92"/>
      <c r="E60" s="92"/>
      <c r="F60" s="92"/>
      <c r="G60" s="106">
        <v>78351</v>
      </c>
      <c r="H60" s="106">
        <v>81960</v>
      </c>
      <c r="I60" s="106">
        <v>85034</v>
      </c>
      <c r="J60" s="106">
        <v>88608</v>
      </c>
      <c r="K60" s="106">
        <v>86317</v>
      </c>
      <c r="L60" s="106">
        <v>81667</v>
      </c>
      <c r="M60" s="106">
        <v>81691</v>
      </c>
      <c r="N60" s="106">
        <v>75928</v>
      </c>
      <c r="O60" s="106">
        <v>88938.284</v>
      </c>
      <c r="P60" s="106">
        <v>93849.771999999997</v>
      </c>
      <c r="Q60" s="106">
        <v>101697.15003799999</v>
      </c>
      <c r="R60" s="106">
        <v>81536.793999999994</v>
      </c>
      <c r="S60" s="106">
        <v>77739.135999999999</v>
      </c>
      <c r="T60" s="117">
        <v>79882</v>
      </c>
      <c r="U60" s="117">
        <v>82177.320000000007</v>
      </c>
      <c r="V60" s="117">
        <v>85521.126573000016</v>
      </c>
      <c r="W60" s="117">
        <v>84031.335000000006</v>
      </c>
      <c r="X60" s="117">
        <v>91558.621999999988</v>
      </c>
      <c r="Y60" s="117">
        <v>79934.423999999999</v>
      </c>
      <c r="Z60" s="117">
        <v>91812.619000000006</v>
      </c>
      <c r="AA60" s="117">
        <v>91807.837</v>
      </c>
      <c r="AB60" s="117">
        <v>91451.173999999999</v>
      </c>
    </row>
    <row r="61" spans="2:28" ht="14.1" customHeight="1">
      <c r="B61" s="92" t="s">
        <v>381</v>
      </c>
      <c r="C61" s="92"/>
      <c r="D61" s="92"/>
      <c r="E61" s="92"/>
      <c r="F61" s="92"/>
      <c r="G61" s="106">
        <v>35070</v>
      </c>
      <c r="H61" s="106">
        <v>34560</v>
      </c>
      <c r="I61" s="106">
        <v>31757</v>
      </c>
      <c r="J61" s="106">
        <v>31082</v>
      </c>
      <c r="K61" s="106">
        <v>38672</v>
      </c>
      <c r="L61" s="106">
        <v>36278</v>
      </c>
      <c r="M61" s="106">
        <v>37703</v>
      </c>
      <c r="N61" s="106">
        <v>31878</v>
      </c>
      <c r="O61" s="106">
        <v>42661.447999999997</v>
      </c>
      <c r="P61" s="106">
        <v>35656.296999999999</v>
      </c>
      <c r="Q61" s="106">
        <v>42381.233051000003</v>
      </c>
      <c r="R61" s="106">
        <v>36814.021999999997</v>
      </c>
      <c r="S61" s="106">
        <v>46800.506999999998</v>
      </c>
      <c r="T61" s="117">
        <v>38446</v>
      </c>
      <c r="U61" s="117">
        <v>45862.453999999998</v>
      </c>
      <c r="V61" s="117">
        <v>45776.447393000009</v>
      </c>
      <c r="W61" s="117">
        <v>48490.105000000003</v>
      </c>
      <c r="X61" s="117">
        <v>44058.783000000003</v>
      </c>
      <c r="Y61" s="117">
        <v>47423.70299999998</v>
      </c>
      <c r="Z61" s="117">
        <v>43973.409000000014</v>
      </c>
      <c r="AA61" s="117">
        <v>50968.796000000002</v>
      </c>
      <c r="AB61" s="117">
        <v>47679.845999999998</v>
      </c>
    </row>
    <row r="62" spans="2:28" ht="14.1" customHeight="1">
      <c r="B62" s="92" t="s">
        <v>382</v>
      </c>
      <c r="C62" s="92"/>
      <c r="D62" s="92"/>
      <c r="E62" s="92"/>
      <c r="F62" s="92"/>
      <c r="G62" s="106">
        <v>22683</v>
      </c>
      <c r="H62" s="106">
        <v>26725</v>
      </c>
      <c r="I62" s="106">
        <v>22394</v>
      </c>
      <c r="J62" s="106">
        <v>27452</v>
      </c>
      <c r="K62" s="106">
        <v>16479</v>
      </c>
      <c r="L62" s="106">
        <v>23089</v>
      </c>
      <c r="M62" s="106">
        <v>21599</v>
      </c>
      <c r="N62" s="106">
        <v>26627</v>
      </c>
      <c r="O62" s="106">
        <v>24040.196</v>
      </c>
      <c r="P62" s="106">
        <v>32608.262999999999</v>
      </c>
      <c r="Q62" s="106">
        <v>39399.238202</v>
      </c>
      <c r="R62" s="106">
        <v>28412.303</v>
      </c>
      <c r="S62" s="106">
        <v>25999.077000000001</v>
      </c>
      <c r="T62" s="117">
        <v>21690</v>
      </c>
      <c r="U62" s="117">
        <v>28584.269</v>
      </c>
      <c r="V62" s="117">
        <v>25787.908729999996</v>
      </c>
      <c r="W62" s="117">
        <v>28492.2</v>
      </c>
      <c r="X62" s="117">
        <v>30797.791999999998</v>
      </c>
      <c r="Y62" s="117">
        <v>36573.338000000003</v>
      </c>
      <c r="Z62" s="117">
        <v>44092.67</v>
      </c>
      <c r="AA62" s="117">
        <v>39331.120000000003</v>
      </c>
      <c r="AB62" s="117">
        <v>40636.571000000004</v>
      </c>
    </row>
    <row r="63" spans="2:28" ht="14.1" customHeight="1">
      <c r="B63" s="92" t="s">
        <v>383</v>
      </c>
      <c r="C63" s="92"/>
      <c r="D63" s="92"/>
      <c r="E63" s="92"/>
      <c r="F63" s="92"/>
      <c r="G63" s="106">
        <v>12144</v>
      </c>
      <c r="H63" s="106">
        <v>11103</v>
      </c>
      <c r="I63" s="106">
        <v>11757</v>
      </c>
      <c r="J63" s="106">
        <v>13285</v>
      </c>
      <c r="K63" s="106">
        <v>13725</v>
      </c>
      <c r="L63" s="106">
        <v>12752</v>
      </c>
      <c r="M63" s="106">
        <v>12201</v>
      </c>
      <c r="N63" s="106">
        <v>18018</v>
      </c>
      <c r="O63" s="106">
        <v>14287.421</v>
      </c>
      <c r="P63" s="106">
        <v>15069.047</v>
      </c>
      <c r="Q63" s="106">
        <v>12221.135963000001</v>
      </c>
      <c r="R63" s="106">
        <v>13227.396000000001</v>
      </c>
      <c r="S63" s="106">
        <v>10322.298000000001</v>
      </c>
      <c r="T63" s="117">
        <v>9670</v>
      </c>
      <c r="U63" s="117">
        <v>10755.897000000001</v>
      </c>
      <c r="V63" s="117">
        <v>9973.1422850000017</v>
      </c>
      <c r="W63" s="117">
        <v>13034.77</v>
      </c>
      <c r="X63" s="117">
        <v>12265.674999999999</v>
      </c>
      <c r="Y63" s="117">
        <v>10982.353000000003</v>
      </c>
      <c r="Z63" s="117">
        <v>14803.201999999997</v>
      </c>
      <c r="AA63" s="117">
        <v>17700.522000000001</v>
      </c>
      <c r="AB63" s="117">
        <v>15072.99</v>
      </c>
    </row>
    <row r="64" spans="2:28" ht="14.1" customHeight="1">
      <c r="B64" s="92" t="s">
        <v>385</v>
      </c>
      <c r="C64" s="92"/>
      <c r="D64" s="92"/>
      <c r="E64" s="92"/>
      <c r="F64" s="92"/>
      <c r="G64" s="106">
        <v>16816</v>
      </c>
      <c r="H64" s="106">
        <v>15885</v>
      </c>
      <c r="I64" s="106">
        <v>16536</v>
      </c>
      <c r="J64" s="106">
        <v>6992</v>
      </c>
      <c r="K64" s="106">
        <v>12177</v>
      </c>
      <c r="L64" s="106">
        <v>11679</v>
      </c>
      <c r="M64" s="106">
        <v>9635</v>
      </c>
      <c r="N64" s="106">
        <v>8493</v>
      </c>
      <c r="O64" s="106">
        <v>12416.931</v>
      </c>
      <c r="P64" s="106">
        <v>9313.2710000000006</v>
      </c>
      <c r="Q64" s="106">
        <v>11330.072865000002</v>
      </c>
      <c r="R64" s="106">
        <v>-770.27500000000146</v>
      </c>
      <c r="S64" s="106">
        <v>7944.5820000000003</v>
      </c>
      <c r="T64" s="117">
        <v>9125</v>
      </c>
      <c r="U64" s="117">
        <v>12396.25</v>
      </c>
      <c r="V64" s="117">
        <v>11100.934836</v>
      </c>
      <c r="W64" s="117">
        <v>12518.588</v>
      </c>
      <c r="X64" s="117">
        <v>15608.287</v>
      </c>
      <c r="Y64" s="117">
        <v>9201.1330000000016</v>
      </c>
      <c r="Z64" s="117">
        <v>13063.991999999998</v>
      </c>
      <c r="AA64" s="117">
        <v>11883.713</v>
      </c>
      <c r="AB64" s="117">
        <v>4013.4479999999999</v>
      </c>
    </row>
    <row r="65" spans="2:30" ht="14.1" customHeight="1">
      <c r="B65" s="92" t="s">
        <v>384</v>
      </c>
      <c r="C65" s="92"/>
      <c r="D65" s="92"/>
      <c r="E65" s="92"/>
      <c r="F65" s="92"/>
      <c r="G65" s="106">
        <v>4997</v>
      </c>
      <c r="H65" s="106">
        <v>7710</v>
      </c>
      <c r="I65" s="106">
        <v>13260</v>
      </c>
      <c r="J65" s="106">
        <v>17907</v>
      </c>
      <c r="K65" s="106">
        <v>9452</v>
      </c>
      <c r="L65" s="106">
        <v>11743</v>
      </c>
      <c r="M65" s="106">
        <v>13954</v>
      </c>
      <c r="N65" s="106">
        <v>14423</v>
      </c>
      <c r="O65" s="106">
        <v>10955.966</v>
      </c>
      <c r="P65" s="106">
        <v>19788.784</v>
      </c>
      <c r="Q65" s="106">
        <v>13058.838044000004</v>
      </c>
      <c r="R65" s="106">
        <v>16631.411999999997</v>
      </c>
      <c r="S65" s="106">
        <v>11244.422</v>
      </c>
      <c r="T65" s="117">
        <v>9694</v>
      </c>
      <c r="U65" s="117">
        <v>12414.192999999999</v>
      </c>
      <c r="V65" s="117">
        <v>23753.223551999996</v>
      </c>
      <c r="W65" s="117">
        <v>13887.749</v>
      </c>
      <c r="X65" s="117">
        <v>15458.398000000001</v>
      </c>
      <c r="Y65" s="117">
        <v>15211.645</v>
      </c>
      <c r="Z65" s="117">
        <v>21243.207999999999</v>
      </c>
      <c r="AA65" s="117">
        <v>14196.589</v>
      </c>
      <c r="AB65" s="117">
        <v>18371.976999999999</v>
      </c>
    </row>
    <row r="66" spans="2:30" ht="14.1" customHeight="1">
      <c r="B66" s="92" t="s">
        <v>388</v>
      </c>
      <c r="C66" s="92"/>
      <c r="D66" s="92"/>
      <c r="E66" s="92"/>
      <c r="F66" s="92"/>
      <c r="G66" s="106">
        <v>9108</v>
      </c>
      <c r="H66" s="106">
        <v>11249</v>
      </c>
      <c r="I66" s="106">
        <v>11613</v>
      </c>
      <c r="J66" s="106">
        <v>15366</v>
      </c>
      <c r="K66" s="106">
        <v>10723</v>
      </c>
      <c r="L66" s="106">
        <v>13228</v>
      </c>
      <c r="M66" s="106">
        <v>12208</v>
      </c>
      <c r="N66" s="106">
        <v>15878</v>
      </c>
      <c r="O66" s="106">
        <v>10687.706</v>
      </c>
      <c r="P66" s="106">
        <v>14892.196</v>
      </c>
      <c r="Q66" s="106">
        <v>20564.344533000003</v>
      </c>
      <c r="R66" s="106">
        <v>22480.752999999997</v>
      </c>
      <c r="S66" s="106">
        <v>17277.32</v>
      </c>
      <c r="T66" s="117">
        <v>15583</v>
      </c>
      <c r="U66" s="117">
        <v>17868.923999999999</v>
      </c>
      <c r="V66" s="117">
        <v>20391.348589000001</v>
      </c>
      <c r="W66" s="117">
        <v>20175.754000000001</v>
      </c>
      <c r="X66" s="117">
        <v>21331.460999999996</v>
      </c>
      <c r="Y66" s="117">
        <v>24153.398000000001</v>
      </c>
      <c r="Z66" s="117">
        <v>29481.387000000002</v>
      </c>
      <c r="AA66" s="117">
        <v>31412.045999999998</v>
      </c>
      <c r="AB66" s="117">
        <v>29862.3</v>
      </c>
    </row>
    <row r="67" spans="2:30" ht="14.1" customHeight="1">
      <c r="B67" s="92" t="s">
        <v>386</v>
      </c>
      <c r="C67" s="92"/>
      <c r="D67" s="92"/>
      <c r="E67" s="92"/>
      <c r="F67" s="92"/>
      <c r="G67" s="106">
        <v>4318</v>
      </c>
      <c r="H67" s="106">
        <v>3467</v>
      </c>
      <c r="I67" s="106">
        <v>4467</v>
      </c>
      <c r="J67" s="106">
        <v>6061</v>
      </c>
      <c r="K67" s="106">
        <v>2905</v>
      </c>
      <c r="L67" s="106">
        <v>3762</v>
      </c>
      <c r="M67" s="106">
        <v>2536</v>
      </c>
      <c r="N67" s="106">
        <v>4051</v>
      </c>
      <c r="O67" s="106">
        <v>2554.2669999999998</v>
      </c>
      <c r="P67" s="106">
        <v>4505.049</v>
      </c>
      <c r="Q67" s="106">
        <v>1947.1223250000003</v>
      </c>
      <c r="R67" s="106">
        <v>7510.5619999999999</v>
      </c>
      <c r="S67" s="106">
        <v>3763.5880000000002</v>
      </c>
      <c r="T67" s="117">
        <v>2507</v>
      </c>
      <c r="U67" s="117">
        <v>4374.3570000000009</v>
      </c>
      <c r="V67" s="117">
        <v>5990.806376999999</v>
      </c>
      <c r="W67" s="117">
        <v>1929.0119999999999</v>
      </c>
      <c r="X67" s="117">
        <v>4070.585</v>
      </c>
      <c r="Y67" s="117">
        <v>4461.482</v>
      </c>
      <c r="Z67" s="117">
        <v>6012.9210000000003</v>
      </c>
      <c r="AA67" s="117">
        <v>1459.9590000000001</v>
      </c>
      <c r="AB67" s="117">
        <v>2999.547</v>
      </c>
    </row>
    <row r="68" spans="2:30" ht="14.1" customHeight="1">
      <c r="B68" s="92" t="s">
        <v>387</v>
      </c>
      <c r="C68" s="92"/>
      <c r="D68" s="92"/>
      <c r="E68" s="92"/>
      <c r="F68" s="92"/>
      <c r="G68" s="106">
        <v>5494</v>
      </c>
      <c r="H68" s="106">
        <v>3680</v>
      </c>
      <c r="I68" s="106">
        <v>3440</v>
      </c>
      <c r="J68" s="106">
        <v>3174</v>
      </c>
      <c r="K68" s="106">
        <v>4015</v>
      </c>
      <c r="L68" s="106">
        <v>2682</v>
      </c>
      <c r="M68" s="106">
        <v>4001</v>
      </c>
      <c r="N68" s="106">
        <v>2063</v>
      </c>
      <c r="O68" s="106">
        <v>3850.6410000000001</v>
      </c>
      <c r="P68" s="106">
        <v>4501.6400000000003</v>
      </c>
      <c r="Q68" s="106">
        <v>3721.8098030000001</v>
      </c>
      <c r="R68" s="106">
        <v>8282.9089999999997</v>
      </c>
      <c r="S68" s="106">
        <v>4671.6819999999998</v>
      </c>
      <c r="T68" s="117">
        <v>5560</v>
      </c>
      <c r="U68" s="117">
        <v>4235.5489999999991</v>
      </c>
      <c r="V68" s="117">
        <v>5716.1795910000019</v>
      </c>
      <c r="W68" s="117">
        <v>4864.0309999999999</v>
      </c>
      <c r="X68" s="117">
        <v>6112.6279999999997</v>
      </c>
      <c r="Y68" s="117">
        <v>5592.0329999999994</v>
      </c>
      <c r="Z68" s="117">
        <v>6815.3080000000009</v>
      </c>
      <c r="AA68" s="117">
        <v>4678.6909999999998</v>
      </c>
      <c r="AB68" s="117">
        <v>7152.66</v>
      </c>
    </row>
    <row r="69" spans="2:30" ht="14.1" customHeight="1">
      <c r="B69" s="92" t="s">
        <v>390</v>
      </c>
      <c r="C69" s="92"/>
      <c r="D69" s="92"/>
      <c r="E69" s="92"/>
      <c r="F69" s="92"/>
      <c r="G69" s="106">
        <v>1763</v>
      </c>
      <c r="H69" s="106">
        <v>1813</v>
      </c>
      <c r="I69" s="106">
        <v>1990</v>
      </c>
      <c r="J69" s="106">
        <v>1816</v>
      </c>
      <c r="K69" s="106">
        <v>1223</v>
      </c>
      <c r="L69" s="106">
        <v>1853</v>
      </c>
      <c r="M69" s="106">
        <v>1244</v>
      </c>
      <c r="N69" s="106">
        <v>1955</v>
      </c>
      <c r="O69" s="106">
        <v>1421.473</v>
      </c>
      <c r="P69" s="106">
        <v>2463.3670000000002</v>
      </c>
      <c r="Q69" s="106">
        <v>3190.9445719999999</v>
      </c>
      <c r="R69" s="106">
        <v>3515.2150000000001</v>
      </c>
      <c r="S69" s="106">
        <v>2234.473</v>
      </c>
      <c r="T69" s="117">
        <v>1847</v>
      </c>
      <c r="U69" s="117">
        <v>2139.7569999999996</v>
      </c>
      <c r="V69" s="117">
        <v>1726.7441159999998</v>
      </c>
      <c r="W69" s="117">
        <v>2122.087</v>
      </c>
      <c r="X69" s="117">
        <v>2969.721</v>
      </c>
      <c r="Y69" s="117">
        <v>1361.5820000000003</v>
      </c>
      <c r="Z69" s="117">
        <v>2937.6099999999997</v>
      </c>
      <c r="AA69" s="117">
        <v>2110.9589999999998</v>
      </c>
      <c r="AB69" s="117">
        <v>1525.367</v>
      </c>
    </row>
    <row r="70" spans="2:30" ht="14.1" customHeight="1">
      <c r="B70" s="92" t="s">
        <v>389</v>
      </c>
      <c r="C70" s="92"/>
      <c r="D70" s="92"/>
      <c r="E70" s="92"/>
      <c r="F70" s="92"/>
      <c r="G70" s="106">
        <v>958</v>
      </c>
      <c r="H70" s="106">
        <v>924</v>
      </c>
      <c r="I70" s="106">
        <v>964</v>
      </c>
      <c r="J70" s="106">
        <v>1244</v>
      </c>
      <c r="K70" s="106">
        <v>1872</v>
      </c>
      <c r="L70" s="106">
        <v>1700</v>
      </c>
      <c r="M70" s="106">
        <v>725</v>
      </c>
      <c r="N70" s="106">
        <v>1201</v>
      </c>
      <c r="O70" s="106">
        <v>389.89100000000002</v>
      </c>
      <c r="P70" s="106">
        <v>1074.4490000000001</v>
      </c>
      <c r="Q70" s="106">
        <v>801.60511900000006</v>
      </c>
      <c r="R70" s="106">
        <v>788.05499999999984</v>
      </c>
      <c r="S70" s="106">
        <v>574.56799999999998</v>
      </c>
      <c r="T70" s="117">
        <v>112</v>
      </c>
      <c r="U70" s="117">
        <v>389.00599999999997</v>
      </c>
      <c r="V70" s="117">
        <v>1200.7037949999999</v>
      </c>
      <c r="W70" s="117">
        <v>1106.0619999999999</v>
      </c>
      <c r="X70" s="117">
        <v>872.07000000000016</v>
      </c>
      <c r="Y70" s="117">
        <v>404.67499999999973</v>
      </c>
      <c r="Z70" s="117">
        <v>-26.806999999999789</v>
      </c>
      <c r="AA70" s="117">
        <v>1206.075</v>
      </c>
      <c r="AB70" s="117">
        <v>1534.8489999999999</v>
      </c>
    </row>
    <row r="71" spans="2:30" s="104" customFormat="1" ht="14.1" customHeight="1">
      <c r="B71" s="104" t="s">
        <v>391</v>
      </c>
      <c r="G71" s="326">
        <f t="shared" ref="G71:N71" si="6">+SUM(G59:G70)</f>
        <v>523367</v>
      </c>
      <c r="H71" s="326">
        <f t="shared" si="6"/>
        <v>500556</v>
      </c>
      <c r="I71" s="326">
        <f t="shared" si="6"/>
        <v>527459</v>
      </c>
      <c r="J71" s="326">
        <f t="shared" si="6"/>
        <v>548254</v>
      </c>
      <c r="K71" s="326">
        <f t="shared" si="6"/>
        <v>592043</v>
      </c>
      <c r="L71" s="326">
        <f t="shared" si="6"/>
        <v>582076</v>
      </c>
      <c r="M71" s="326">
        <f t="shared" si="6"/>
        <v>623485</v>
      </c>
      <c r="N71" s="326">
        <f t="shared" si="6"/>
        <v>615987</v>
      </c>
      <c r="O71" s="326">
        <v>622849.8899999999</v>
      </c>
      <c r="P71" s="326">
        <f t="shared" ref="P71:Z71" si="7">SUM(P59:P70)</f>
        <v>663405.32299999997</v>
      </c>
      <c r="Q71" s="326">
        <f t="shared" si="7"/>
        <v>694840.71794799995</v>
      </c>
      <c r="R71" s="326">
        <f t="shared" si="7"/>
        <v>599578.0689999999</v>
      </c>
      <c r="S71" s="326">
        <f t="shared" si="7"/>
        <v>622159.19099999999</v>
      </c>
      <c r="T71" s="161">
        <f t="shared" si="7"/>
        <v>595951</v>
      </c>
      <c r="U71" s="161">
        <f t="shared" si="7"/>
        <v>561895.22799999977</v>
      </c>
      <c r="V71" s="161">
        <f t="shared" si="7"/>
        <v>597965.13912099996</v>
      </c>
      <c r="W71" s="161">
        <f t="shared" si="7"/>
        <v>665684.12799999991</v>
      </c>
      <c r="X71" s="161">
        <f t="shared" si="7"/>
        <v>660708.70000000007</v>
      </c>
      <c r="Y71" s="161">
        <f t="shared" si="7"/>
        <v>677371.84900000016</v>
      </c>
      <c r="Z71" s="161">
        <f t="shared" si="7"/>
        <v>825618.32299999986</v>
      </c>
      <c r="AA71" s="161">
        <f>SUM(AA59:AA70)</f>
        <v>881039.48699999996</v>
      </c>
      <c r="AB71" s="161">
        <f>SUM(AB59:AB70)</f>
        <v>768611.15500000003</v>
      </c>
      <c r="AD71" s="92"/>
    </row>
    <row r="72" spans="2:30" ht="14.1" customHeight="1">
      <c r="T72" s="117"/>
      <c r="U72" s="117"/>
      <c r="V72" s="117"/>
      <c r="W72" s="117"/>
      <c r="X72" s="117"/>
      <c r="Y72" s="117"/>
      <c r="Z72" s="117"/>
    </row>
    <row r="73" spans="2:30" ht="14.1" customHeight="1">
      <c r="B73" s="323" t="s">
        <v>593</v>
      </c>
      <c r="T73" s="117"/>
      <c r="U73" s="117"/>
      <c r="V73" s="117"/>
      <c r="W73" s="117"/>
      <c r="X73" s="117"/>
      <c r="Y73" s="117"/>
      <c r="Z73" s="117"/>
    </row>
    <row r="74" spans="2:30" s="105" customFormat="1" ht="14.1" customHeight="1">
      <c r="B74" s="105" t="s">
        <v>456</v>
      </c>
      <c r="N74" s="327"/>
      <c r="O74" s="105">
        <v>0.23</v>
      </c>
      <c r="P74" s="105">
        <v>0.27</v>
      </c>
      <c r="Q74" s="105">
        <v>0.2</v>
      </c>
      <c r="R74" s="105">
        <v>0.19</v>
      </c>
      <c r="S74" s="105">
        <v>0.24</v>
      </c>
      <c r="T74" s="105">
        <v>5.0000000000000001E-3</v>
      </c>
      <c r="U74" s="325">
        <v>0.02</v>
      </c>
      <c r="V74" s="325">
        <v>0.02</v>
      </c>
      <c r="W74" s="325">
        <v>0.24</v>
      </c>
      <c r="X74" s="325">
        <v>0.13</v>
      </c>
      <c r="Y74" s="325">
        <v>0.08</v>
      </c>
      <c r="Z74" s="325">
        <v>0.17</v>
      </c>
      <c r="AA74" s="325">
        <v>0.18</v>
      </c>
      <c r="AB74" s="105">
        <v>7.9000000000000001E-2</v>
      </c>
    </row>
    <row r="75" spans="2:30" s="105" customFormat="1" ht="14.1" customHeight="1">
      <c r="B75" s="105" t="s">
        <v>457</v>
      </c>
      <c r="N75" s="327"/>
      <c r="O75" s="105">
        <v>0.35</v>
      </c>
      <c r="P75" s="105">
        <v>0.33</v>
      </c>
      <c r="Q75" s="105">
        <v>0.35</v>
      </c>
      <c r="R75" s="105">
        <v>0.32</v>
      </c>
      <c r="S75" s="105">
        <v>0.34</v>
      </c>
      <c r="T75" s="105">
        <v>0.21</v>
      </c>
      <c r="U75" s="325">
        <v>0.1</v>
      </c>
      <c r="V75" s="325">
        <v>0.14000000000000001</v>
      </c>
      <c r="W75" s="325">
        <v>0.34</v>
      </c>
      <c r="X75" s="325">
        <v>0.24</v>
      </c>
      <c r="Y75" s="325">
        <v>0.22</v>
      </c>
      <c r="Z75" s="325">
        <v>0.22</v>
      </c>
      <c r="AA75" s="325">
        <v>0.46</v>
      </c>
      <c r="AB75" s="105">
        <v>0.40100000000000002</v>
      </c>
    </row>
    <row r="76" spans="2:30" s="105" customFormat="1" ht="14.1" customHeight="1">
      <c r="B76" s="105" t="s">
        <v>458</v>
      </c>
      <c r="N76" s="327"/>
      <c r="O76" s="105">
        <v>0.2</v>
      </c>
      <c r="P76" s="105">
        <v>0.19</v>
      </c>
      <c r="Q76" s="105">
        <v>0.19</v>
      </c>
      <c r="R76" s="105">
        <v>0.19</v>
      </c>
      <c r="S76" s="105">
        <v>0.2</v>
      </c>
      <c r="T76" s="105">
        <v>0.41</v>
      </c>
      <c r="U76" s="325">
        <v>0.44</v>
      </c>
      <c r="V76" s="325">
        <v>0.44</v>
      </c>
      <c r="W76" s="325">
        <v>0.2</v>
      </c>
      <c r="X76" s="325">
        <v>0.32</v>
      </c>
      <c r="Y76" s="325">
        <v>0.38</v>
      </c>
      <c r="Z76" s="325">
        <v>0.28000000000000003</v>
      </c>
      <c r="AA76" s="325">
        <v>0.18</v>
      </c>
      <c r="AB76" s="105">
        <v>0.27700000000000002</v>
      </c>
    </row>
    <row r="77" spans="2:30" s="105" customFormat="1" ht="14.1" customHeight="1">
      <c r="B77" s="105" t="s">
        <v>459</v>
      </c>
      <c r="N77" s="327"/>
      <c r="O77" s="105">
        <v>0.08</v>
      </c>
      <c r="P77" s="105">
        <v>0.09</v>
      </c>
      <c r="Q77" s="105">
        <v>0.11</v>
      </c>
      <c r="R77" s="105">
        <v>0.11</v>
      </c>
      <c r="S77" s="105">
        <v>0.09</v>
      </c>
      <c r="T77" s="105">
        <v>7.0000000000000007E-2</v>
      </c>
      <c r="U77" s="325">
        <v>0.11</v>
      </c>
      <c r="V77" s="325">
        <v>0.13</v>
      </c>
      <c r="W77" s="325">
        <v>0.09</v>
      </c>
      <c r="X77" s="325">
        <v>0.08</v>
      </c>
      <c r="Y77" s="325">
        <v>7.0000000000000007E-2</v>
      </c>
      <c r="Z77" s="325">
        <v>0.06</v>
      </c>
      <c r="AA77" s="325">
        <v>0.06</v>
      </c>
      <c r="AB77" s="105">
        <v>0.08</v>
      </c>
    </row>
    <row r="78" spans="2:30" s="105" customFormat="1" ht="14.1" customHeight="1">
      <c r="B78" s="105" t="s">
        <v>460</v>
      </c>
      <c r="N78" s="327"/>
      <c r="O78" s="105">
        <v>0.14000000000000001</v>
      </c>
      <c r="P78" s="105">
        <v>0.12</v>
      </c>
      <c r="Q78" s="105">
        <v>0.16</v>
      </c>
      <c r="R78" s="105">
        <v>0.19</v>
      </c>
      <c r="S78" s="105">
        <v>0.13</v>
      </c>
      <c r="T78" s="105">
        <v>0.3</v>
      </c>
      <c r="U78" s="325">
        <v>0.33</v>
      </c>
      <c r="V78" s="325">
        <v>0.27</v>
      </c>
      <c r="W78" s="325">
        <v>0.13</v>
      </c>
      <c r="X78" s="325">
        <v>0.23</v>
      </c>
      <c r="Y78" s="325">
        <v>0.25</v>
      </c>
      <c r="Z78" s="325">
        <v>0.27</v>
      </c>
      <c r="AA78" s="325">
        <v>0.12</v>
      </c>
      <c r="AB78" s="105">
        <v>0.16300000000000001</v>
      </c>
    </row>
    <row r="79" spans="2:30" ht="14.1" customHeight="1">
      <c r="C79" s="92"/>
      <c r="D79" s="92"/>
      <c r="E79" s="92"/>
      <c r="N79" s="326"/>
      <c r="T79" s="117"/>
      <c r="U79" s="117"/>
      <c r="V79" s="117"/>
      <c r="W79" s="117"/>
      <c r="X79" s="117"/>
      <c r="Y79" s="117"/>
      <c r="Z79" s="117"/>
    </row>
    <row r="80" spans="2:30" ht="14.1" customHeight="1">
      <c r="T80" s="117"/>
      <c r="U80" s="117"/>
      <c r="V80" s="117"/>
      <c r="W80" s="117"/>
      <c r="X80" s="117"/>
      <c r="Y80" s="117"/>
      <c r="Z80" s="117"/>
    </row>
    <row r="81" spans="2:28" ht="14.1" customHeight="1" thickBot="1">
      <c r="B81" s="145" t="s">
        <v>651</v>
      </c>
      <c r="C81" s="119"/>
      <c r="D81" s="119"/>
      <c r="E81" s="119"/>
      <c r="F81" s="119"/>
      <c r="G81" s="144"/>
      <c r="H81" s="144"/>
      <c r="I81" s="144"/>
      <c r="J81" s="144"/>
      <c r="K81" s="144"/>
      <c r="L81" s="144"/>
      <c r="M81" s="144"/>
      <c r="N81" s="144"/>
      <c r="O81" s="144"/>
      <c r="P81" s="144"/>
      <c r="Q81" s="144"/>
      <c r="R81" s="144"/>
      <c r="S81" s="144"/>
      <c r="T81" s="144"/>
      <c r="U81" s="144"/>
      <c r="V81" s="144"/>
      <c r="W81" s="144"/>
      <c r="X81" s="144"/>
      <c r="Y81" s="144"/>
      <c r="Z81" s="144"/>
      <c r="AA81" s="144"/>
      <c r="AB81" s="144"/>
    </row>
    <row r="82" spans="2:28" ht="14.1" customHeight="1" thickTop="1"/>
    <row r="84" spans="2:28" ht="14.1" customHeight="1">
      <c r="B84"/>
    </row>
  </sheetData>
  <phoneticPr fontId="14" type="noConversion"/>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U99"/>
  <sheetViews>
    <sheetView showGridLines="0" zoomScaleNormal="100" workbookViewId="0">
      <pane xSplit="3" ySplit="2" topLeftCell="AN4" activePane="bottomRight" state="frozen"/>
      <selection activeCell="U8" sqref="U8"/>
      <selection pane="topRight" activeCell="U8" sqref="U8"/>
      <selection pane="bottomLeft" activeCell="U8" sqref="U8"/>
      <selection pane="bottomRight" activeCell="AU5" sqref="AU5"/>
    </sheetView>
  </sheetViews>
  <sheetFormatPr baseColWidth="10" defaultRowHeight="14.1" customHeight="1" outlineLevelCol="1"/>
  <cols>
    <col min="1" max="1" width="3.140625" style="92" customWidth="1"/>
    <col min="2" max="2" width="3.7109375" style="94" hidden="1" customWidth="1" outlineLevel="1"/>
    <col min="3" max="3" width="43.5703125" style="92" customWidth="1" collapsed="1"/>
    <col min="4" max="7" width="11.42578125" style="108"/>
    <col min="8" max="8" width="11.42578125" style="174"/>
    <col min="9" max="10" width="11.42578125" style="175"/>
    <col min="11" max="11" width="11.42578125" style="176"/>
    <col min="12" max="12" width="11.42578125" style="174"/>
    <col min="13" max="14" width="11.42578125" style="175"/>
    <col min="15" max="15" width="11.42578125" style="176"/>
    <col min="16" max="16" width="11.42578125" style="174"/>
    <col min="17" max="19" width="11.42578125" style="108"/>
    <col min="20" max="20" width="11.42578125" style="174"/>
    <col min="21" max="23" width="11.42578125" style="108"/>
    <col min="24" max="24" width="11.42578125" style="174"/>
    <col min="25" max="27" width="11.42578125" style="108"/>
    <col min="28" max="28" width="11.42578125" style="371"/>
    <col min="29" max="30" width="11.42578125" style="108"/>
    <col min="31" max="31" width="12.85546875" style="108" customWidth="1"/>
    <col min="32" max="32" width="13.7109375" style="371" bestFit="1" customWidth="1"/>
    <col min="33" max="35" width="11.42578125" style="108"/>
    <col min="36" max="36" width="11.42578125" style="371"/>
    <col min="37" max="39" width="11.42578125" style="108"/>
    <col min="40" max="40" width="11.42578125" style="371"/>
    <col min="41" max="45" width="11.42578125" style="108"/>
    <col min="46" max="46" width="4.7109375" style="92" customWidth="1"/>
    <col min="47" max="47" width="22.5703125" style="92" customWidth="1" outlineLevel="1"/>
    <col min="48" max="16384" width="11.42578125" style="92"/>
  </cols>
  <sheetData>
    <row r="2" spans="2:47" s="94" customFormat="1" ht="14.1" customHeight="1">
      <c r="B2" s="94" t="s">
        <v>773</v>
      </c>
      <c r="C2" s="393" t="s">
        <v>892</v>
      </c>
      <c r="D2" s="85" t="s">
        <v>144</v>
      </c>
      <c r="E2" s="85" t="s">
        <v>145</v>
      </c>
      <c r="F2" s="85" t="s">
        <v>146</v>
      </c>
      <c r="G2" s="85" t="s">
        <v>147</v>
      </c>
      <c r="H2" s="170" t="s">
        <v>148</v>
      </c>
      <c r="I2" s="85" t="s">
        <v>149</v>
      </c>
      <c r="J2" s="85" t="s">
        <v>150</v>
      </c>
      <c r="K2" s="172" t="s">
        <v>151</v>
      </c>
      <c r="L2" s="170" t="s">
        <v>152</v>
      </c>
      <c r="M2" s="85" t="s">
        <v>153</v>
      </c>
      <c r="N2" s="85" t="s">
        <v>154</v>
      </c>
      <c r="O2" s="172" t="s">
        <v>155</v>
      </c>
      <c r="P2" s="170" t="s">
        <v>156</v>
      </c>
      <c r="Q2" s="85" t="s">
        <v>157</v>
      </c>
      <c r="R2" s="85" t="s">
        <v>158</v>
      </c>
      <c r="S2" s="115" t="s">
        <v>252</v>
      </c>
      <c r="T2" s="171" t="s">
        <v>261</v>
      </c>
      <c r="U2" s="85" t="s">
        <v>262</v>
      </c>
      <c r="V2" s="85" t="s">
        <v>263</v>
      </c>
      <c r="W2" s="85" t="s">
        <v>267</v>
      </c>
      <c r="X2" s="170" t="s">
        <v>276</v>
      </c>
      <c r="Y2" s="85" t="s">
        <v>323</v>
      </c>
      <c r="Z2" s="85" t="s">
        <v>339</v>
      </c>
      <c r="AA2" s="85" t="s">
        <v>338</v>
      </c>
      <c r="AB2" s="270" t="s">
        <v>357</v>
      </c>
      <c r="AC2" s="85" t="s">
        <v>360</v>
      </c>
      <c r="AD2" s="85" t="s">
        <v>372</v>
      </c>
      <c r="AE2" s="85" t="s">
        <v>374</v>
      </c>
      <c r="AF2" s="270" t="s">
        <v>413</v>
      </c>
      <c r="AG2" s="85" t="s">
        <v>453</v>
      </c>
      <c r="AH2" s="85" t="s">
        <v>468</v>
      </c>
      <c r="AI2" s="85" t="s">
        <v>473</v>
      </c>
      <c r="AJ2" s="270" t="s">
        <v>479</v>
      </c>
      <c r="AK2" s="85" t="s">
        <v>536</v>
      </c>
      <c r="AL2" s="85" t="s">
        <v>663</v>
      </c>
      <c r="AM2" s="85" t="s">
        <v>664</v>
      </c>
      <c r="AN2" s="270" t="s">
        <v>665</v>
      </c>
      <c r="AO2" s="85" t="s">
        <v>686</v>
      </c>
      <c r="AP2" s="85" t="s">
        <v>730</v>
      </c>
      <c r="AQ2" s="85" t="s">
        <v>891</v>
      </c>
      <c r="AR2" s="85" t="s">
        <v>919</v>
      </c>
      <c r="AS2" s="85" t="s">
        <v>922</v>
      </c>
      <c r="AU2" s="85" t="s">
        <v>749</v>
      </c>
    </row>
    <row r="3" spans="2:47" s="94" customFormat="1" ht="14.1" hidden="1" customHeight="1">
      <c r="D3" s="108">
        <v>2012</v>
      </c>
      <c r="E3" s="108">
        <v>2012</v>
      </c>
      <c r="F3" s="108">
        <v>2012</v>
      </c>
      <c r="G3" s="108">
        <v>2012</v>
      </c>
      <c r="H3" s="174">
        <v>2013</v>
      </c>
      <c r="I3" s="175">
        <v>2013</v>
      </c>
      <c r="J3" s="175">
        <v>2013</v>
      </c>
      <c r="K3" s="176">
        <v>2013</v>
      </c>
      <c r="L3" s="174">
        <v>2014</v>
      </c>
      <c r="M3" s="175">
        <v>2014</v>
      </c>
      <c r="N3" s="175">
        <v>2014</v>
      </c>
      <c r="O3" s="176">
        <v>2014</v>
      </c>
      <c r="P3" s="174">
        <v>2015</v>
      </c>
      <c r="Q3" s="108">
        <v>2015</v>
      </c>
      <c r="R3" s="108">
        <v>2015</v>
      </c>
      <c r="S3" s="108"/>
      <c r="T3" s="174"/>
      <c r="U3" s="108"/>
      <c r="V3" s="108"/>
      <c r="W3" s="108"/>
      <c r="X3" s="174"/>
      <c r="Y3" s="108"/>
      <c r="Z3" s="108"/>
      <c r="AA3" s="108"/>
      <c r="AB3" s="371"/>
      <c r="AC3" s="108"/>
      <c r="AD3" s="108"/>
      <c r="AE3" s="108"/>
      <c r="AF3" s="371"/>
      <c r="AG3" s="108"/>
      <c r="AH3" s="108"/>
      <c r="AI3" s="108"/>
      <c r="AJ3" s="371"/>
      <c r="AK3" s="108"/>
      <c r="AL3" s="108"/>
      <c r="AM3" s="108"/>
      <c r="AN3" s="371"/>
      <c r="AO3" s="108"/>
      <c r="AP3" s="108"/>
      <c r="AQ3" s="108"/>
      <c r="AR3" s="108"/>
      <c r="AS3" s="108"/>
    </row>
    <row r="4" spans="2:47" s="94" customFormat="1" ht="14.1" customHeight="1">
      <c r="D4" s="108"/>
      <c r="E4" s="108"/>
      <c r="F4" s="108"/>
      <c r="G4" s="108"/>
      <c r="H4" s="174"/>
      <c r="I4" s="175"/>
      <c r="J4" s="175"/>
      <c r="K4" s="176"/>
      <c r="L4" s="174"/>
      <c r="M4" s="175"/>
      <c r="N4" s="175"/>
      <c r="O4" s="176"/>
      <c r="P4" s="174"/>
      <c r="Q4" s="108"/>
      <c r="R4" s="108"/>
      <c r="S4" s="108"/>
      <c r="T4" s="174"/>
      <c r="U4" s="108"/>
      <c r="V4" s="108"/>
      <c r="W4" s="108"/>
      <c r="X4" s="174"/>
      <c r="Y4" s="108"/>
      <c r="Z4" s="108"/>
      <c r="AA4" s="108"/>
      <c r="AB4" s="371"/>
      <c r="AC4" s="108"/>
      <c r="AD4" s="108"/>
      <c r="AE4" s="108"/>
      <c r="AF4" s="371"/>
      <c r="AG4" s="108"/>
      <c r="AH4" s="108"/>
      <c r="AI4" s="108"/>
      <c r="AJ4" s="371"/>
      <c r="AK4" s="108"/>
      <c r="AL4" s="108"/>
      <c r="AM4" s="108"/>
      <c r="AN4" s="371"/>
      <c r="AO4" s="108"/>
      <c r="AP4" s="108"/>
      <c r="AQ4" s="108"/>
      <c r="AR4" s="108"/>
      <c r="AS4" s="108"/>
    </row>
    <row r="5" spans="2:47" ht="14.1" customHeight="1" thickBot="1">
      <c r="C5" s="83" t="s">
        <v>300</v>
      </c>
    </row>
    <row r="6" spans="2:47" ht="14.1" customHeight="1" thickTop="1">
      <c r="C6" s="86"/>
      <c r="D6" s="372"/>
      <c r="E6" s="372"/>
      <c r="F6" s="372"/>
      <c r="G6" s="372"/>
      <c r="H6" s="373"/>
      <c r="I6" s="374"/>
      <c r="J6" s="374"/>
      <c r="K6" s="375"/>
      <c r="L6" s="373"/>
      <c r="M6" s="374"/>
      <c r="N6" s="374"/>
      <c r="O6" s="375"/>
      <c r="P6" s="373"/>
      <c r="Q6" s="372"/>
      <c r="R6" s="372"/>
      <c r="S6" s="372"/>
      <c r="T6" s="373"/>
      <c r="U6" s="372"/>
      <c r="V6" s="372"/>
      <c r="W6" s="372"/>
      <c r="X6" s="373"/>
      <c r="Y6" s="372"/>
      <c r="Z6" s="372"/>
      <c r="AA6" s="372"/>
      <c r="AB6" s="376"/>
      <c r="AC6" s="372"/>
      <c r="AD6" s="372"/>
      <c r="AE6" s="372"/>
      <c r="AF6" s="376"/>
      <c r="AG6" s="372"/>
      <c r="AH6" s="372"/>
      <c r="AI6" s="372"/>
      <c r="AJ6" s="376"/>
      <c r="AK6" s="372"/>
      <c r="AL6" s="372"/>
      <c r="AM6" s="372"/>
      <c r="AN6" s="376"/>
      <c r="AO6" s="372"/>
      <c r="AP6" s="372"/>
      <c r="AQ6" s="372"/>
      <c r="AR6" s="372"/>
      <c r="AS6" s="372"/>
    </row>
    <row r="7" spans="2:47" ht="14.1" customHeight="1">
      <c r="C7" s="399" t="s">
        <v>422</v>
      </c>
      <c r="D7" s="372"/>
      <c r="E7" s="372"/>
      <c r="F7" s="372"/>
      <c r="G7" s="372"/>
      <c r="H7" s="373"/>
      <c r="I7" s="374"/>
      <c r="J7" s="374"/>
      <c r="K7" s="375"/>
      <c r="L7" s="373"/>
      <c r="M7" s="374"/>
      <c r="N7" s="374"/>
      <c r="O7" s="375"/>
      <c r="P7" s="373"/>
      <c r="Q7" s="372"/>
      <c r="R7" s="372"/>
      <c r="S7" s="372"/>
      <c r="T7" s="373"/>
      <c r="U7" s="372"/>
      <c r="V7" s="372"/>
      <c r="W7" s="372"/>
      <c r="X7" s="373"/>
      <c r="Y7" s="372"/>
      <c r="Z7" s="372"/>
      <c r="AA7" s="372"/>
      <c r="AB7" s="376"/>
      <c r="AC7" s="372"/>
      <c r="AD7" s="372"/>
      <c r="AE7" s="372"/>
      <c r="AF7" s="376"/>
      <c r="AG7" s="372"/>
      <c r="AH7" s="372"/>
      <c r="AI7" s="372"/>
      <c r="AJ7" s="376"/>
      <c r="AK7" s="372"/>
      <c r="AL7" s="372"/>
      <c r="AM7" s="372"/>
      <c r="AN7" s="376"/>
      <c r="AO7" s="372"/>
      <c r="AP7" s="372"/>
      <c r="AQ7" s="372"/>
      <c r="AR7" s="372"/>
      <c r="AS7" s="372"/>
    </row>
    <row r="8" spans="2:47" ht="14.1" customHeight="1">
      <c r="C8" s="363"/>
      <c r="D8" s="372"/>
      <c r="E8" s="372"/>
      <c r="F8" s="372"/>
      <c r="G8" s="372"/>
      <c r="H8" s="373"/>
      <c r="I8" s="374"/>
      <c r="J8" s="374"/>
      <c r="K8" s="375"/>
      <c r="L8" s="373"/>
      <c r="M8" s="374"/>
      <c r="N8" s="374"/>
      <c r="O8" s="375"/>
      <c r="P8" s="373"/>
      <c r="Q8" s="372"/>
      <c r="R8" s="372"/>
      <c r="S8" s="372"/>
      <c r="T8" s="373"/>
      <c r="U8" s="372"/>
      <c r="V8" s="372"/>
      <c r="W8" s="372"/>
      <c r="X8" s="373"/>
      <c r="Y8" s="372"/>
      <c r="Z8" s="372"/>
      <c r="AA8" s="372"/>
      <c r="AB8" s="376"/>
      <c r="AC8" s="372"/>
      <c r="AD8" s="372"/>
      <c r="AE8" s="372"/>
      <c r="AF8" s="376"/>
      <c r="AG8" s="372"/>
      <c r="AH8" s="372"/>
      <c r="AI8" s="372"/>
      <c r="AJ8" s="376"/>
      <c r="AK8" s="372"/>
      <c r="AL8" s="372"/>
      <c r="AM8" s="372"/>
      <c r="AN8" s="376"/>
      <c r="AO8" s="372"/>
      <c r="AP8" s="372"/>
      <c r="AQ8" s="372"/>
      <c r="AR8" s="372"/>
      <c r="AS8" s="372"/>
    </row>
    <row r="9" spans="2:47" ht="14.1" customHeight="1">
      <c r="C9" s="363" t="s">
        <v>748</v>
      </c>
      <c r="D9" s="372"/>
      <c r="E9" s="372"/>
      <c r="F9" s="372"/>
      <c r="G9" s="372"/>
      <c r="H9" s="373"/>
      <c r="I9" s="374"/>
      <c r="J9" s="374"/>
      <c r="K9" s="375"/>
      <c r="L9" s="373"/>
      <c r="M9" s="374"/>
      <c r="N9" s="374"/>
      <c r="O9" s="375"/>
      <c r="P9" s="373"/>
      <c r="Q9" s="372"/>
      <c r="R9" s="372"/>
      <c r="S9" s="372"/>
      <c r="T9" s="373"/>
      <c r="U9" s="372"/>
      <c r="V9" s="372"/>
      <c r="W9" s="372"/>
      <c r="X9" s="373"/>
      <c r="Y9" s="372"/>
      <c r="Z9" s="372"/>
      <c r="AA9" s="372"/>
      <c r="AB9" s="376"/>
      <c r="AC9" s="372"/>
      <c r="AD9" s="372"/>
      <c r="AE9" s="372"/>
      <c r="AF9" s="376"/>
      <c r="AG9" s="372"/>
      <c r="AH9" s="372"/>
      <c r="AI9" s="372"/>
      <c r="AJ9" s="376"/>
      <c r="AK9" s="372"/>
      <c r="AL9" s="372"/>
      <c r="AM9" s="372"/>
      <c r="AN9" s="376"/>
      <c r="AO9" s="372"/>
      <c r="AP9" s="372"/>
      <c r="AQ9" s="372"/>
      <c r="AR9" s="372"/>
      <c r="AS9" s="372"/>
    </row>
    <row r="10" spans="2:47" ht="14.1" customHeight="1">
      <c r="C10" s="86" t="s">
        <v>742</v>
      </c>
      <c r="D10" s="372" t="s">
        <v>893</v>
      </c>
      <c r="E10" s="372" t="s">
        <v>893</v>
      </c>
      <c r="F10" s="372" t="s">
        <v>893</v>
      </c>
      <c r="G10" s="372" t="s">
        <v>893</v>
      </c>
      <c r="H10" s="373" t="s">
        <v>893</v>
      </c>
      <c r="I10" s="374" t="s">
        <v>893</v>
      </c>
      <c r="J10" s="374" t="s">
        <v>893</v>
      </c>
      <c r="K10" s="375" t="s">
        <v>893</v>
      </c>
      <c r="L10" s="373" t="s">
        <v>893</v>
      </c>
      <c r="M10" s="374" t="s">
        <v>893</v>
      </c>
      <c r="N10" s="374" t="s">
        <v>893</v>
      </c>
      <c r="O10" s="375" t="s">
        <v>893</v>
      </c>
      <c r="P10" s="373" t="s">
        <v>893</v>
      </c>
      <c r="Q10" s="372" t="s">
        <v>893</v>
      </c>
      <c r="R10" s="372" t="s">
        <v>893</v>
      </c>
      <c r="S10" s="372" t="s">
        <v>893</v>
      </c>
      <c r="T10" s="373" t="s">
        <v>893</v>
      </c>
      <c r="U10" s="372" t="s">
        <v>893</v>
      </c>
      <c r="V10" s="372" t="s">
        <v>893</v>
      </c>
      <c r="W10" s="372" t="s">
        <v>893</v>
      </c>
      <c r="X10" s="373" t="s">
        <v>893</v>
      </c>
      <c r="Y10" s="372" t="s">
        <v>893</v>
      </c>
      <c r="Z10" s="372" t="s">
        <v>893</v>
      </c>
      <c r="AA10" s="372" t="s">
        <v>893</v>
      </c>
      <c r="AB10" s="376" t="s">
        <v>893</v>
      </c>
      <c r="AC10" s="372" t="s">
        <v>893</v>
      </c>
      <c r="AD10" s="372" t="s">
        <v>893</v>
      </c>
      <c r="AE10" s="372" t="s">
        <v>893</v>
      </c>
      <c r="AF10" s="376" t="s">
        <v>893</v>
      </c>
      <c r="AG10" s="372" t="s">
        <v>893</v>
      </c>
      <c r="AH10" s="372" t="s">
        <v>893</v>
      </c>
      <c r="AI10" s="372" t="s">
        <v>893</v>
      </c>
      <c r="AJ10" s="376" t="s">
        <v>893</v>
      </c>
      <c r="AK10" s="372" t="s">
        <v>893</v>
      </c>
      <c r="AL10" s="372" t="s">
        <v>893</v>
      </c>
      <c r="AM10" s="372" t="s">
        <v>893</v>
      </c>
      <c r="AN10" s="376" t="s">
        <v>893</v>
      </c>
      <c r="AO10" s="372" t="s">
        <v>893</v>
      </c>
      <c r="AP10" s="372" t="s">
        <v>893</v>
      </c>
      <c r="AQ10" s="372" t="s">
        <v>893</v>
      </c>
      <c r="AR10" s="372" t="s">
        <v>893</v>
      </c>
      <c r="AS10" s="372" t="s">
        <v>893</v>
      </c>
      <c r="AU10" s="92" t="s">
        <v>790</v>
      </c>
    </row>
    <row r="11" spans="2:47" ht="14.1" customHeight="1">
      <c r="C11" s="86" t="s">
        <v>843</v>
      </c>
      <c r="D11" s="372" t="s">
        <v>893</v>
      </c>
      <c r="E11" s="372" t="s">
        <v>893</v>
      </c>
      <c r="F11" s="372" t="s">
        <v>893</v>
      </c>
      <c r="G11" s="372" t="s">
        <v>893</v>
      </c>
      <c r="H11" s="373" t="s">
        <v>893</v>
      </c>
      <c r="I11" s="374" t="s">
        <v>893</v>
      </c>
      <c r="J11" s="374" t="s">
        <v>893</v>
      </c>
      <c r="K11" s="375" t="s">
        <v>893</v>
      </c>
      <c r="L11" s="373" t="s">
        <v>893</v>
      </c>
      <c r="M11" s="374" t="s">
        <v>893</v>
      </c>
      <c r="N11" s="374" t="s">
        <v>893</v>
      </c>
      <c r="O11" s="375" t="s">
        <v>893</v>
      </c>
      <c r="P11" s="373" t="s">
        <v>893</v>
      </c>
      <c r="Q11" s="372" t="s">
        <v>893</v>
      </c>
      <c r="R11" s="372" t="s">
        <v>893</v>
      </c>
      <c r="S11" s="372" t="s">
        <v>893</v>
      </c>
      <c r="T11" s="373" t="s">
        <v>893</v>
      </c>
      <c r="U11" s="372" t="s">
        <v>893</v>
      </c>
      <c r="V11" s="372" t="s">
        <v>893</v>
      </c>
      <c r="W11" s="372" t="s">
        <v>893</v>
      </c>
      <c r="X11" s="373" t="s">
        <v>893</v>
      </c>
      <c r="Y11" s="372" t="s">
        <v>893</v>
      </c>
      <c r="Z11" s="372" t="s">
        <v>893</v>
      </c>
      <c r="AA11" s="372" t="s">
        <v>893</v>
      </c>
      <c r="AB11" s="376" t="s">
        <v>893</v>
      </c>
      <c r="AC11" s="372" t="s">
        <v>893</v>
      </c>
      <c r="AD11" s="372" t="s">
        <v>893</v>
      </c>
      <c r="AE11" s="372" t="s">
        <v>893</v>
      </c>
      <c r="AF11" s="376" t="s">
        <v>893</v>
      </c>
      <c r="AG11" s="372" t="s">
        <v>893</v>
      </c>
      <c r="AH11" s="372" t="s">
        <v>893</v>
      </c>
      <c r="AI11" s="372" t="s">
        <v>893</v>
      </c>
      <c r="AJ11" s="376" t="s">
        <v>893</v>
      </c>
      <c r="AK11" s="372" t="s">
        <v>893</v>
      </c>
      <c r="AL11" s="372" t="s">
        <v>893</v>
      </c>
      <c r="AM11" s="372" t="s">
        <v>893</v>
      </c>
      <c r="AN11" s="376" t="s">
        <v>893</v>
      </c>
      <c r="AO11" s="372" t="s">
        <v>893</v>
      </c>
      <c r="AP11" s="372" t="s">
        <v>893</v>
      </c>
      <c r="AQ11" s="372" t="s">
        <v>893</v>
      </c>
      <c r="AR11" s="372" t="s">
        <v>893</v>
      </c>
      <c r="AS11" s="372" t="s">
        <v>893</v>
      </c>
      <c r="AU11" s="92" t="s">
        <v>790</v>
      </c>
    </row>
    <row r="12" spans="2:47" ht="14.1" customHeight="1">
      <c r="C12" s="107" t="s">
        <v>743</v>
      </c>
      <c r="D12" s="372">
        <v>1599.2890399391363</v>
      </c>
      <c r="E12" s="372">
        <v>1105.4473680586527</v>
      </c>
      <c r="F12" s="372">
        <v>1092.1840161700002</v>
      </c>
      <c r="G12" s="372">
        <v>1242.2495411200002</v>
      </c>
      <c r="H12" s="373">
        <v>1615.3899892600002</v>
      </c>
      <c r="I12" s="374">
        <v>1505.2567325999999</v>
      </c>
      <c r="J12" s="374">
        <v>1429.2237078200001</v>
      </c>
      <c r="K12" s="375">
        <v>1620.1593234600005</v>
      </c>
      <c r="L12" s="373">
        <v>1739.49997562</v>
      </c>
      <c r="M12" s="374">
        <v>1692.2528107200001</v>
      </c>
      <c r="N12" s="374">
        <v>1293.4025071000001</v>
      </c>
      <c r="O12" s="375">
        <v>1711.1677089099999</v>
      </c>
      <c r="P12" s="373">
        <v>1721.60793087</v>
      </c>
      <c r="Q12" s="372">
        <v>1386.6309754399999</v>
      </c>
      <c r="R12" s="372">
        <v>1064.9411481799998</v>
      </c>
      <c r="S12" s="372">
        <v>1971.5201794</v>
      </c>
      <c r="T12" s="373">
        <v>1792.3649857699997</v>
      </c>
      <c r="U12" s="372">
        <v>1323.5267063900001</v>
      </c>
      <c r="V12" s="372">
        <v>1230</v>
      </c>
      <c r="W12" s="372">
        <v>1250.0051609799998</v>
      </c>
      <c r="X12" s="373">
        <v>1246.42425473</v>
      </c>
      <c r="Y12" s="372">
        <v>1324.8076976300001</v>
      </c>
      <c r="Z12" s="372">
        <v>1112.5204080399999</v>
      </c>
      <c r="AA12" s="372">
        <v>1542.3825806499997</v>
      </c>
      <c r="AB12" s="376">
        <v>1433.8732605799999</v>
      </c>
      <c r="AC12" s="372">
        <v>1301.0516962700001</v>
      </c>
      <c r="AD12" s="372">
        <v>1218.4371283300002</v>
      </c>
      <c r="AE12" s="372">
        <v>1465.9446717199999</v>
      </c>
      <c r="AF12" s="376">
        <v>1116.9837265400001</v>
      </c>
      <c r="AG12" s="372">
        <v>1244.3694409700004</v>
      </c>
      <c r="AH12" s="372">
        <v>987.61292587000003</v>
      </c>
      <c r="AI12" s="372">
        <v>1036.8413204499998</v>
      </c>
      <c r="AJ12" s="376">
        <v>875.24345567</v>
      </c>
      <c r="AK12" s="372">
        <v>840.36522336999997</v>
      </c>
      <c r="AL12" s="372">
        <v>987.88384958999995</v>
      </c>
      <c r="AM12" s="372">
        <v>964.13457095000024</v>
      </c>
      <c r="AN12" s="376">
        <v>1223.1888575599999</v>
      </c>
      <c r="AO12" s="372">
        <v>1178.3484030699999</v>
      </c>
      <c r="AP12" s="372">
        <v>1017.978608852547</v>
      </c>
      <c r="AQ12" s="372">
        <v>1383.1322365674532</v>
      </c>
      <c r="AR12" s="372">
        <f>+SUM(AR13:AR15)</f>
        <v>1449.4999999999998</v>
      </c>
      <c r="AS12" s="372">
        <f>+SUM(AS13:AS15)</f>
        <v>1342</v>
      </c>
    </row>
    <row r="13" spans="2:47" ht="14.1" customHeight="1">
      <c r="C13" s="364" t="s">
        <v>759</v>
      </c>
      <c r="D13" s="372">
        <v>1336.0455452600002</v>
      </c>
      <c r="E13" s="372">
        <v>790.68137837999996</v>
      </c>
      <c r="F13" s="372">
        <v>560.24219480999989</v>
      </c>
      <c r="G13" s="372">
        <v>692.29373118000001</v>
      </c>
      <c r="H13" s="373">
        <v>852.26330388000008</v>
      </c>
      <c r="I13" s="374">
        <v>888.23580790999983</v>
      </c>
      <c r="J13" s="374">
        <v>786.92225435</v>
      </c>
      <c r="K13" s="375">
        <v>967.20851933000017</v>
      </c>
      <c r="L13" s="373">
        <v>1104.7924873499999</v>
      </c>
      <c r="M13" s="374">
        <v>970.48596451999992</v>
      </c>
      <c r="N13" s="374">
        <v>637.90516142000001</v>
      </c>
      <c r="O13" s="375">
        <v>907.59872164999979</v>
      </c>
      <c r="P13" s="373">
        <v>876.64916531999995</v>
      </c>
      <c r="Q13" s="372">
        <v>730.22092755000006</v>
      </c>
      <c r="R13" s="372">
        <v>552.50700516999984</v>
      </c>
      <c r="S13" s="372">
        <v>609.50707079999995</v>
      </c>
      <c r="T13" s="373">
        <v>509.33922193000001</v>
      </c>
      <c r="U13" s="372">
        <v>828.57718184999999</v>
      </c>
      <c r="V13" s="372">
        <v>751.79249829000003</v>
      </c>
      <c r="W13" s="372">
        <v>929.67471522000005</v>
      </c>
      <c r="X13" s="373">
        <v>1053.0329706500002</v>
      </c>
      <c r="Y13" s="372">
        <v>1105.7262727400002</v>
      </c>
      <c r="Z13" s="372">
        <v>901.62806460000002</v>
      </c>
      <c r="AA13" s="372">
        <v>1213.9758931599997</v>
      </c>
      <c r="AB13" s="376">
        <v>1037.0766634699999</v>
      </c>
      <c r="AC13" s="372">
        <v>1034.1528330400001</v>
      </c>
      <c r="AD13" s="372">
        <v>833.61036053000009</v>
      </c>
      <c r="AE13" s="372">
        <v>1110.1842130499999</v>
      </c>
      <c r="AF13" s="376">
        <v>838.27067657000009</v>
      </c>
      <c r="AG13" s="372">
        <v>1056.3936954300002</v>
      </c>
      <c r="AH13" s="372">
        <v>813.79525716000012</v>
      </c>
      <c r="AI13" s="372">
        <v>1030.0795987799997</v>
      </c>
      <c r="AJ13" s="376">
        <v>865.0096547600001</v>
      </c>
      <c r="AK13" s="372">
        <v>792.3795143399999</v>
      </c>
      <c r="AL13" s="372">
        <v>978.33345146999989</v>
      </c>
      <c r="AM13" s="372">
        <v>955.96492215000012</v>
      </c>
      <c r="AN13" s="376">
        <v>1211.76573678</v>
      </c>
      <c r="AO13" s="372">
        <v>1168.15976153</v>
      </c>
      <c r="AP13" s="372">
        <v>1005.4271567925471</v>
      </c>
      <c r="AQ13" s="372">
        <v>1343.9522659074532</v>
      </c>
      <c r="AR13" s="372">
        <v>1419.1</v>
      </c>
      <c r="AS13" s="372">
        <v>1331</v>
      </c>
    </row>
    <row r="14" spans="2:47" ht="14.1" customHeight="1">
      <c r="C14" s="364" t="s">
        <v>740</v>
      </c>
      <c r="D14" s="372">
        <v>0</v>
      </c>
      <c r="E14" s="372">
        <v>0</v>
      </c>
      <c r="F14" s="372">
        <v>0</v>
      </c>
      <c r="G14" s="372">
        <v>0</v>
      </c>
      <c r="H14" s="373">
        <v>0</v>
      </c>
      <c r="I14" s="374">
        <v>0</v>
      </c>
      <c r="J14" s="374">
        <v>0</v>
      </c>
      <c r="K14" s="375">
        <v>0</v>
      </c>
      <c r="L14" s="373">
        <v>0</v>
      </c>
      <c r="M14" s="374">
        <v>0</v>
      </c>
      <c r="N14" s="374">
        <v>0</v>
      </c>
      <c r="O14" s="375">
        <v>0</v>
      </c>
      <c r="P14" s="373">
        <v>0</v>
      </c>
      <c r="Q14" s="372">
        <v>0</v>
      </c>
      <c r="R14" s="372">
        <v>0</v>
      </c>
      <c r="S14" s="372">
        <v>0</v>
      </c>
      <c r="T14" s="373">
        <v>0</v>
      </c>
      <c r="U14" s="372">
        <v>0</v>
      </c>
      <c r="V14" s="372">
        <v>0</v>
      </c>
      <c r="W14" s="372">
        <v>0</v>
      </c>
      <c r="X14" s="373">
        <v>0</v>
      </c>
      <c r="Y14" s="372">
        <v>0</v>
      </c>
      <c r="Z14" s="372">
        <v>1.8207861600000002</v>
      </c>
      <c r="AA14" s="372">
        <v>3.5668211199999997</v>
      </c>
      <c r="AB14" s="376">
        <v>3.7859461999999997</v>
      </c>
      <c r="AC14" s="372">
        <v>3.11786363</v>
      </c>
      <c r="AD14" s="372">
        <v>1.5402303600000002</v>
      </c>
      <c r="AE14" s="372">
        <v>2.3767968000000002</v>
      </c>
      <c r="AF14" s="376">
        <v>5.3816241800000002</v>
      </c>
      <c r="AG14" s="372">
        <v>4.5304601399999997</v>
      </c>
      <c r="AH14" s="372">
        <v>5.0266511100000004</v>
      </c>
      <c r="AI14" s="372">
        <v>4.8850816699999999</v>
      </c>
      <c r="AJ14" s="376">
        <v>5.8424409099999997</v>
      </c>
      <c r="AK14" s="372">
        <v>8.0176690300000004</v>
      </c>
      <c r="AL14" s="372">
        <v>8.6230381200000004</v>
      </c>
      <c r="AM14" s="372">
        <v>8.1696488000000009</v>
      </c>
      <c r="AN14" s="376">
        <v>11.42312078</v>
      </c>
      <c r="AO14" s="372">
        <v>9.2361961099999998</v>
      </c>
      <c r="AP14" s="372">
        <v>12.551452060000003</v>
      </c>
      <c r="AQ14" s="372">
        <v>14.660799320000001</v>
      </c>
      <c r="AR14" s="372">
        <v>18.600000000000001</v>
      </c>
      <c r="AS14" s="372">
        <v>10</v>
      </c>
    </row>
    <row r="15" spans="2:47" ht="14.1" customHeight="1">
      <c r="C15" s="364" t="s">
        <v>741</v>
      </c>
      <c r="D15" s="372">
        <v>262.75789276913628</v>
      </c>
      <c r="E15" s="372">
        <v>314.7553434686526</v>
      </c>
      <c r="F15" s="372">
        <v>531.85442035000005</v>
      </c>
      <c r="G15" s="372">
        <v>549.89837659</v>
      </c>
      <c r="H15" s="373">
        <v>763.13869810999995</v>
      </c>
      <c r="I15" s="374">
        <v>617.01729362000003</v>
      </c>
      <c r="J15" s="374">
        <v>642.46070218</v>
      </c>
      <c r="K15" s="375">
        <v>652.79122858999995</v>
      </c>
      <c r="L15" s="373">
        <v>634.84623912999996</v>
      </c>
      <c r="M15" s="374">
        <v>721.74532828000008</v>
      </c>
      <c r="N15" s="374">
        <v>655.48825780999994</v>
      </c>
      <c r="O15" s="375">
        <v>803.44990101999997</v>
      </c>
      <c r="P15" s="373">
        <v>844.95876554999995</v>
      </c>
      <c r="Q15" s="372">
        <v>656.41004788999999</v>
      </c>
      <c r="R15" s="372">
        <v>512.43414300999996</v>
      </c>
      <c r="S15" s="372">
        <v>1362.0131086000001</v>
      </c>
      <c r="T15" s="373">
        <v>1283.0257638400001</v>
      </c>
      <c r="U15" s="372">
        <v>494.94952454000008</v>
      </c>
      <c r="V15" s="372">
        <v>478.49939879000004</v>
      </c>
      <c r="W15" s="372">
        <v>320.33044575999998</v>
      </c>
      <c r="X15" s="373">
        <v>193.39128407999999</v>
      </c>
      <c r="Y15" s="372">
        <v>219.08142488999997</v>
      </c>
      <c r="Z15" s="372">
        <v>209.07155728000001</v>
      </c>
      <c r="AA15" s="372">
        <v>324.83986636999998</v>
      </c>
      <c r="AB15" s="376">
        <v>393.01065090999998</v>
      </c>
      <c r="AC15" s="372">
        <v>263.78099959999997</v>
      </c>
      <c r="AD15" s="372">
        <v>383.28653744000002</v>
      </c>
      <c r="AE15" s="372">
        <v>353.38366186999997</v>
      </c>
      <c r="AF15" s="376">
        <v>273.33142579000003</v>
      </c>
      <c r="AG15" s="372">
        <v>183.44528539999999</v>
      </c>
      <c r="AH15" s="372">
        <v>168.79101759999998</v>
      </c>
      <c r="AI15" s="372">
        <v>1.8766399999999999</v>
      </c>
      <c r="AJ15" s="376">
        <v>4.3913600000000006</v>
      </c>
      <c r="AK15" s="372">
        <v>39.968040000000002</v>
      </c>
      <c r="AL15" s="372">
        <v>0.92735999999999996</v>
      </c>
      <c r="AM15" s="372">
        <v>0</v>
      </c>
      <c r="AN15" s="376">
        <v>0</v>
      </c>
      <c r="AO15" s="372">
        <v>0.95244543000000004</v>
      </c>
      <c r="AP15" s="372">
        <v>0</v>
      </c>
      <c r="AQ15" s="372">
        <v>24.519171340000003</v>
      </c>
      <c r="AR15" s="372">
        <v>11.8</v>
      </c>
      <c r="AS15" s="372">
        <v>1</v>
      </c>
    </row>
    <row r="16" spans="2:47" ht="14.1" customHeight="1">
      <c r="B16" s="94" t="s">
        <v>771</v>
      </c>
      <c r="C16" s="107" t="s">
        <v>358</v>
      </c>
      <c r="D16" s="372">
        <v>890.70540400499999</v>
      </c>
      <c r="E16" s="372">
        <v>759.03334271750009</v>
      </c>
      <c r="F16" s="372">
        <v>725.79983972416665</v>
      </c>
      <c r="G16" s="372">
        <v>822.87768282333332</v>
      </c>
      <c r="H16" s="373">
        <v>949.26281692250382</v>
      </c>
      <c r="I16" s="374">
        <v>938.26521816731793</v>
      </c>
      <c r="J16" s="374">
        <v>864.66531075748958</v>
      </c>
      <c r="K16" s="375">
        <v>965.82102689499959</v>
      </c>
      <c r="L16" s="373">
        <v>1078.63397435</v>
      </c>
      <c r="M16" s="374">
        <v>1042.5226848</v>
      </c>
      <c r="N16" s="374">
        <v>1044.9319657799999</v>
      </c>
      <c r="O16" s="375">
        <v>1101.9181458999999</v>
      </c>
      <c r="P16" s="373">
        <v>1166.0236018400001</v>
      </c>
      <c r="Q16" s="372">
        <v>1166.1745631800002</v>
      </c>
      <c r="R16" s="372">
        <v>1293.6247906899998</v>
      </c>
      <c r="S16" s="372">
        <v>1374.7413362978289</v>
      </c>
      <c r="T16" s="373">
        <v>1268.2737648300001</v>
      </c>
      <c r="U16" s="372">
        <v>922</v>
      </c>
      <c r="V16" s="372">
        <v>909</v>
      </c>
      <c r="W16" s="372">
        <v>883.17980924000017</v>
      </c>
      <c r="X16" s="373">
        <v>747.08552447</v>
      </c>
      <c r="Y16" s="372">
        <v>729.10765802999993</v>
      </c>
      <c r="Z16" s="372">
        <v>712.68475841999998</v>
      </c>
      <c r="AA16" s="372">
        <v>772.67145137</v>
      </c>
      <c r="AB16" s="376">
        <v>765.68452060000004</v>
      </c>
      <c r="AC16" s="372">
        <v>777.41614648999985</v>
      </c>
      <c r="AD16" s="372">
        <v>740.05141087000004</v>
      </c>
      <c r="AE16" s="372">
        <v>855.9253804299999</v>
      </c>
      <c r="AF16" s="376">
        <v>785.48039446000007</v>
      </c>
      <c r="AG16" s="372">
        <v>794.20773639000004</v>
      </c>
      <c r="AH16" s="372">
        <v>805.66708472908999</v>
      </c>
      <c r="AI16" s="372">
        <v>894.96588501973338</v>
      </c>
      <c r="AJ16" s="376">
        <v>803.03589979000003</v>
      </c>
      <c r="AK16" s="372">
        <v>741.6966891699999</v>
      </c>
      <c r="AL16" s="372">
        <v>679.90856145000009</v>
      </c>
      <c r="AM16" s="372">
        <v>837.12281978999999</v>
      </c>
      <c r="AN16" s="376">
        <v>778.87915968579887</v>
      </c>
      <c r="AO16" s="372">
        <v>911.5664469100002</v>
      </c>
      <c r="AP16" s="372">
        <v>822.00295819000007</v>
      </c>
      <c r="AQ16" s="372">
        <v>1018.57857829</v>
      </c>
      <c r="AR16" s="372">
        <v>921</v>
      </c>
      <c r="AS16" s="372">
        <v>997</v>
      </c>
    </row>
    <row r="17" spans="2:47" ht="14.1" customHeight="1">
      <c r="B17" s="94" t="s">
        <v>764</v>
      </c>
      <c r="C17" s="86" t="s">
        <v>747</v>
      </c>
      <c r="D17" s="372" t="s">
        <v>159</v>
      </c>
      <c r="E17" s="372" t="s">
        <v>159</v>
      </c>
      <c r="F17" s="372" t="s">
        <v>159</v>
      </c>
      <c r="G17" s="372" t="s">
        <v>159</v>
      </c>
      <c r="H17" s="373" t="s">
        <v>159</v>
      </c>
      <c r="I17" s="374" t="s">
        <v>159</v>
      </c>
      <c r="J17" s="374" t="s">
        <v>159</v>
      </c>
      <c r="K17" s="375" t="s">
        <v>159</v>
      </c>
      <c r="L17" s="373" t="s">
        <v>159</v>
      </c>
      <c r="M17" s="374" t="s">
        <v>159</v>
      </c>
      <c r="N17" s="374" t="s">
        <v>159</v>
      </c>
      <c r="O17" s="375" t="s">
        <v>159</v>
      </c>
      <c r="P17" s="373">
        <v>148.14873726870826</v>
      </c>
      <c r="Q17" s="372">
        <v>149.18883401524462</v>
      </c>
      <c r="R17" s="372">
        <v>155.41512510976719</v>
      </c>
      <c r="S17" s="372">
        <v>170.25726402573935</v>
      </c>
      <c r="T17" s="373">
        <v>172.43233333333333</v>
      </c>
      <c r="U17" s="372">
        <v>165.64533333333335</v>
      </c>
      <c r="V17" s="372">
        <v>165.46299999999999</v>
      </c>
      <c r="W17" s="372">
        <v>166.37033333333332</v>
      </c>
      <c r="X17" s="373">
        <v>177.64599999999999</v>
      </c>
      <c r="Y17" s="372">
        <v>177.45866666666666</v>
      </c>
      <c r="Z17" s="372">
        <v>177.60066666666668</v>
      </c>
      <c r="AA17" s="372">
        <v>178.73066666666668</v>
      </c>
      <c r="AB17" s="376">
        <v>187.82633333333334</v>
      </c>
      <c r="AC17" s="372">
        <v>188.92866666666669</v>
      </c>
      <c r="AD17" s="372">
        <v>189.39766666666665</v>
      </c>
      <c r="AE17" s="372">
        <v>192.47966666666665</v>
      </c>
      <c r="AF17" s="376">
        <v>201.47433333333333</v>
      </c>
      <c r="AG17" s="372">
        <v>203.23300000000003</v>
      </c>
      <c r="AH17" s="372">
        <v>206.67033933943333</v>
      </c>
      <c r="AI17" s="372">
        <v>209.38994474080002</v>
      </c>
      <c r="AJ17" s="376">
        <v>219.73941139266665</v>
      </c>
      <c r="AK17" s="372">
        <v>218.76266666666666</v>
      </c>
      <c r="AL17" s="372">
        <v>219.27908032466667</v>
      </c>
      <c r="AM17" s="372">
        <v>221.19646972266665</v>
      </c>
      <c r="AN17" s="376">
        <v>233.58169189166665</v>
      </c>
      <c r="AO17" s="372">
        <v>244.88165772333332</v>
      </c>
      <c r="AP17" s="372">
        <v>252.19114560900002</v>
      </c>
      <c r="AQ17" s="372">
        <v>261.73346152133337</v>
      </c>
      <c r="AR17" s="372">
        <v>264.5</v>
      </c>
      <c r="AS17" s="372">
        <v>271.60000000000002</v>
      </c>
    </row>
    <row r="18" spans="2:47" ht="14.1" customHeight="1">
      <c r="B18" s="94" t="s">
        <v>771</v>
      </c>
      <c r="C18" s="107" t="s">
        <v>744</v>
      </c>
      <c r="D18" s="372">
        <v>1065.1263521771612</v>
      </c>
      <c r="E18" s="372">
        <v>553.60779768543364</v>
      </c>
      <c r="F18" s="372">
        <v>525.71668929746306</v>
      </c>
      <c r="G18" s="372">
        <v>801.68755781920277</v>
      </c>
      <c r="H18" s="373">
        <v>1142.0433964734302</v>
      </c>
      <c r="I18" s="374">
        <v>948.76645085630832</v>
      </c>
      <c r="J18" s="374">
        <v>1047.2078247110578</v>
      </c>
      <c r="K18" s="375">
        <v>1076.0574959897117</v>
      </c>
      <c r="L18" s="373">
        <v>1174.940205366893</v>
      </c>
      <c r="M18" s="374">
        <v>1099.4359461224408</v>
      </c>
      <c r="N18" s="374">
        <v>914.11036229799993</v>
      </c>
      <c r="O18" s="375">
        <v>1161.135677369512</v>
      </c>
      <c r="P18" s="373">
        <v>1130.0203376942122</v>
      </c>
      <c r="Q18" s="372">
        <v>820.81441810361935</v>
      </c>
      <c r="R18" s="372">
        <v>485.62978531390888</v>
      </c>
      <c r="S18" s="372">
        <v>1039.5481231721683</v>
      </c>
      <c r="T18" s="373">
        <v>1156.8769844020749</v>
      </c>
      <c r="U18" s="372">
        <v>734</v>
      </c>
      <c r="V18" s="372">
        <v>774</v>
      </c>
      <c r="W18" s="372">
        <v>621.26684276999993</v>
      </c>
      <c r="X18" s="373">
        <v>680.16761941000004</v>
      </c>
      <c r="Y18" s="372">
        <v>807.27139361000002</v>
      </c>
      <c r="Z18" s="372">
        <v>742.00752759999989</v>
      </c>
      <c r="AA18" s="372">
        <v>978.86714300999984</v>
      </c>
      <c r="AB18" s="376">
        <v>840.45042609000006</v>
      </c>
      <c r="AC18" s="372">
        <v>712.23301394999987</v>
      </c>
      <c r="AD18" s="372">
        <v>739.81795843000009</v>
      </c>
      <c r="AE18" s="372">
        <v>799.31100943999991</v>
      </c>
      <c r="AF18" s="376">
        <v>627.51147951316375</v>
      </c>
      <c r="AG18" s="372">
        <v>650.53940176683636</v>
      </c>
      <c r="AH18" s="372">
        <v>535.43837348091006</v>
      </c>
      <c r="AI18" s="372">
        <v>400.68570157026642</v>
      </c>
      <c r="AJ18" s="376">
        <v>510.30930914000004</v>
      </c>
      <c r="AK18" s="372">
        <v>547.97115342000018</v>
      </c>
      <c r="AL18" s="372">
        <v>598.27767122000012</v>
      </c>
      <c r="AM18" s="372">
        <v>464.57398767000012</v>
      </c>
      <c r="AN18" s="376">
        <v>633.39840482</v>
      </c>
      <c r="AO18" s="372">
        <v>552.69446789704307</v>
      </c>
      <c r="AP18" s="372">
        <v>562.43837797704305</v>
      </c>
      <c r="AQ18" s="372">
        <v>750.33767620591368</v>
      </c>
      <c r="AR18" s="372">
        <v>761</v>
      </c>
      <c r="AS18" s="372">
        <v>611</v>
      </c>
    </row>
    <row r="19" spans="2:47" ht="14.1" customHeight="1">
      <c r="B19" s="94" t="s">
        <v>764</v>
      </c>
      <c r="C19" s="86" t="s">
        <v>763</v>
      </c>
      <c r="D19" s="372">
        <v>83.737200000000001</v>
      </c>
      <c r="E19" s="372">
        <v>63.735233333333333</v>
      </c>
      <c r="F19" s="372">
        <v>134.27250000000001</v>
      </c>
      <c r="G19" s="372">
        <v>181.78040000000001</v>
      </c>
      <c r="H19" s="373">
        <v>165.12378829437444</v>
      </c>
      <c r="I19" s="374">
        <v>167.69335534593691</v>
      </c>
      <c r="J19" s="374">
        <v>172.26355720032777</v>
      </c>
      <c r="K19" s="375">
        <v>192.83351803449435</v>
      </c>
      <c r="L19" s="373">
        <v>163.62186203867793</v>
      </c>
      <c r="M19" s="374">
        <v>362.14447801784132</v>
      </c>
      <c r="N19" s="374">
        <v>184.72134729502923</v>
      </c>
      <c r="O19" s="375">
        <v>181.60993904773599</v>
      </c>
      <c r="P19" s="373">
        <v>185.42948901606067</v>
      </c>
      <c r="Q19" s="372">
        <v>200.56446392791256</v>
      </c>
      <c r="R19" s="372">
        <v>281.10954480050623</v>
      </c>
      <c r="S19" s="372">
        <v>834.43786379971755</v>
      </c>
      <c r="T19" s="373">
        <v>676.72569999999996</v>
      </c>
      <c r="U19" s="372">
        <v>213.59243333333333</v>
      </c>
      <c r="V19" s="372">
        <v>159.27306666666667</v>
      </c>
      <c r="W19" s="372">
        <v>152.96430000000001</v>
      </c>
      <c r="X19" s="373">
        <v>129.45340000000002</v>
      </c>
      <c r="Y19" s="372">
        <v>78.87466666666667</v>
      </c>
      <c r="Z19" s="372">
        <v>95.794533333333334</v>
      </c>
      <c r="AA19" s="372">
        <v>121.79963333333335</v>
      </c>
      <c r="AB19" s="376">
        <v>145.54613333333336</v>
      </c>
      <c r="AC19" s="372">
        <v>88.142133333333334</v>
      </c>
      <c r="AD19" s="372">
        <v>92.087800000000001</v>
      </c>
      <c r="AE19" s="372">
        <v>138.39196666666666</v>
      </c>
      <c r="AF19" s="376">
        <v>283.87993333333333</v>
      </c>
      <c r="AG19" s="372">
        <v>158.40323333333333</v>
      </c>
      <c r="AH19" s="372">
        <v>184.78210638888891</v>
      </c>
      <c r="AI19" s="372">
        <v>287.57969015830344</v>
      </c>
      <c r="AJ19" s="376">
        <v>364.30423333333334</v>
      </c>
      <c r="AK19" s="372">
        <v>306.43946666666665</v>
      </c>
      <c r="AL19" s="372">
        <v>155.58940000000001</v>
      </c>
      <c r="AM19" s="372">
        <v>180.40936666666667</v>
      </c>
      <c r="AN19" s="376">
        <v>205.83519999999999</v>
      </c>
      <c r="AO19" s="372">
        <v>117.8288</v>
      </c>
      <c r="AP19" s="372">
        <v>97.281566666666663</v>
      </c>
      <c r="AQ19" s="372">
        <v>181.09549999999999</v>
      </c>
      <c r="AR19" s="372">
        <v>306.89999999999998</v>
      </c>
      <c r="AS19" s="372">
        <v>114.4</v>
      </c>
    </row>
    <row r="20" spans="2:47" ht="14.1" customHeight="1">
      <c r="C20" s="86" t="s">
        <v>745</v>
      </c>
      <c r="D20" s="372" t="s">
        <v>159</v>
      </c>
      <c r="E20" s="372" t="s">
        <v>159</v>
      </c>
      <c r="F20" s="372" t="s">
        <v>159</v>
      </c>
      <c r="G20" s="372" t="s">
        <v>159</v>
      </c>
      <c r="H20" s="373" t="s">
        <v>159</v>
      </c>
      <c r="I20" s="374" t="s">
        <v>159</v>
      </c>
      <c r="J20" s="374" t="s">
        <v>159</v>
      </c>
      <c r="K20" s="375" t="s">
        <v>159</v>
      </c>
      <c r="L20" s="373">
        <v>73.700585894708965</v>
      </c>
      <c r="M20" s="374">
        <v>126.65890570000002</v>
      </c>
      <c r="N20" s="374">
        <v>180.98880721315294</v>
      </c>
      <c r="O20" s="375">
        <v>186.58377495849456</v>
      </c>
      <c r="P20" s="373">
        <v>238.5703284688976</v>
      </c>
      <c r="Q20" s="372">
        <v>263.4845713868275</v>
      </c>
      <c r="R20" s="372">
        <v>203.74423053613316</v>
      </c>
      <c r="S20" s="372">
        <v>320.88882120714675</v>
      </c>
      <c r="T20" s="373">
        <v>328.46352862900301</v>
      </c>
      <c r="U20" s="372">
        <v>119.59363376034436</v>
      </c>
      <c r="V20" s="372">
        <v>88.705729939999998</v>
      </c>
      <c r="W20" s="372">
        <v>77.622914000000009</v>
      </c>
      <c r="X20" s="373">
        <v>106.53677702391991</v>
      </c>
      <c r="Y20" s="372">
        <v>119.20859938407742</v>
      </c>
      <c r="Z20" s="372">
        <v>97.437123075922599</v>
      </c>
      <c r="AA20" s="372">
        <v>152.06628692999999</v>
      </c>
      <c r="AB20" s="376">
        <v>130.05963341999998</v>
      </c>
      <c r="AC20" s="372">
        <v>126.59702238000003</v>
      </c>
      <c r="AD20" s="372">
        <v>107.13414459000001</v>
      </c>
      <c r="AE20" s="372">
        <v>123.29587142000001</v>
      </c>
      <c r="AF20" s="376">
        <v>191.73550205730248</v>
      </c>
      <c r="AG20" s="372">
        <v>126.87306790269753</v>
      </c>
      <c r="AH20" s="372">
        <v>153.21187564000002</v>
      </c>
      <c r="AI20" s="372">
        <v>126.68868709000002</v>
      </c>
      <c r="AJ20" s="376">
        <v>165.68310606999995</v>
      </c>
      <c r="AK20" s="372">
        <v>190.03402621999999</v>
      </c>
      <c r="AL20" s="372">
        <v>122.65337541999997</v>
      </c>
      <c r="AM20" s="372">
        <v>186.20703749</v>
      </c>
      <c r="AN20" s="376">
        <v>166.72601821000003</v>
      </c>
      <c r="AO20" s="372">
        <v>163.37232388000001</v>
      </c>
      <c r="AP20" s="372">
        <v>170.86833261999999</v>
      </c>
      <c r="AQ20" s="372">
        <v>242.20057161999998</v>
      </c>
      <c r="AR20" s="372">
        <v>189.00220569999999</v>
      </c>
      <c r="AS20" s="372">
        <v>191</v>
      </c>
    </row>
    <row r="21" spans="2:47" ht="14.1" customHeight="1">
      <c r="C21" s="86" t="s">
        <v>746</v>
      </c>
      <c r="D21" s="372" t="s">
        <v>159</v>
      </c>
      <c r="E21" s="372" t="s">
        <v>159</v>
      </c>
      <c r="F21" s="372" t="s">
        <v>159</v>
      </c>
      <c r="G21" s="372" t="s">
        <v>159</v>
      </c>
      <c r="H21" s="373" t="s">
        <v>159</v>
      </c>
      <c r="I21" s="374" t="s">
        <v>159</v>
      </c>
      <c r="J21" s="374" t="s">
        <v>159</v>
      </c>
      <c r="K21" s="375" t="s">
        <v>159</v>
      </c>
      <c r="L21" s="373">
        <v>87.697509440000005</v>
      </c>
      <c r="M21" s="374">
        <v>99.864964179999987</v>
      </c>
      <c r="N21" s="374">
        <v>190.17311902999995</v>
      </c>
      <c r="O21" s="375">
        <v>86.631358229999989</v>
      </c>
      <c r="P21" s="373">
        <v>80.046712999999997</v>
      </c>
      <c r="Q21" s="372">
        <v>108.62538816999999</v>
      </c>
      <c r="R21" s="372">
        <v>301.65294517000007</v>
      </c>
      <c r="S21" s="372">
        <v>101.51829525000001</v>
      </c>
      <c r="T21" s="373">
        <v>42.602733620000002</v>
      </c>
      <c r="U21" s="372">
        <v>24.524160809999998</v>
      </c>
      <c r="V21" s="372">
        <v>179.11486516999997</v>
      </c>
      <c r="W21" s="372">
        <v>24.890491339999997</v>
      </c>
      <c r="X21" s="373">
        <v>62.133710200000003</v>
      </c>
      <c r="Y21" s="372">
        <v>65.236214849999996</v>
      </c>
      <c r="Z21" s="372">
        <v>250.61890326999986</v>
      </c>
      <c r="AA21" s="372">
        <v>52.695297639999993</v>
      </c>
      <c r="AB21" s="376">
        <v>62.724423759999993</v>
      </c>
      <c r="AC21" s="372">
        <v>82.381915700000008</v>
      </c>
      <c r="AD21" s="372">
        <v>174.29461336999998</v>
      </c>
      <c r="AE21" s="372">
        <v>77.129881820000008</v>
      </c>
      <c r="AF21" s="376">
        <v>79.318904709999984</v>
      </c>
      <c r="AG21" s="372">
        <v>74.584533009999987</v>
      </c>
      <c r="AH21" s="372">
        <v>201.74376589135508</v>
      </c>
      <c r="AI21" s="372">
        <v>133.99026689999999</v>
      </c>
      <c r="AJ21" s="376">
        <v>274.80490533</v>
      </c>
      <c r="AK21" s="372">
        <v>261.15980033999995</v>
      </c>
      <c r="AL21" s="372">
        <v>170.56361274999998</v>
      </c>
      <c r="AM21" s="372">
        <v>155.61360974000002</v>
      </c>
      <c r="AN21" s="376">
        <v>132.27436729999999</v>
      </c>
      <c r="AO21" s="372">
        <v>131.70095822000002</v>
      </c>
      <c r="AP21" s="372">
        <v>202.10237571000002</v>
      </c>
      <c r="AQ21" s="372">
        <v>155.53551220911987</v>
      </c>
      <c r="AR21" s="372">
        <v>86.654552680000023</v>
      </c>
      <c r="AS21" s="372">
        <v>78</v>
      </c>
    </row>
    <row r="22" spans="2:47" ht="14.1" customHeight="1">
      <c r="C22" s="86"/>
      <c r="D22" s="372"/>
      <c r="E22" s="372"/>
      <c r="F22" s="372"/>
      <c r="G22" s="372"/>
      <c r="H22" s="373"/>
      <c r="I22" s="374"/>
      <c r="J22" s="374"/>
      <c r="K22" s="375"/>
      <c r="L22" s="373"/>
      <c r="M22" s="374"/>
      <c r="N22" s="374"/>
      <c r="O22" s="375"/>
      <c r="P22" s="373"/>
      <c r="Q22" s="372"/>
      <c r="R22" s="372"/>
      <c r="S22" s="372"/>
      <c r="T22" s="373"/>
      <c r="U22" s="372"/>
      <c r="V22" s="372"/>
      <c r="W22" s="372"/>
      <c r="X22" s="373"/>
      <c r="Y22" s="372"/>
      <c r="Z22" s="372"/>
      <c r="AA22" s="372"/>
      <c r="AB22" s="376"/>
      <c r="AC22" s="372"/>
      <c r="AD22" s="372"/>
      <c r="AE22" s="372"/>
      <c r="AF22" s="376"/>
      <c r="AG22" s="372"/>
      <c r="AH22" s="372"/>
      <c r="AI22" s="372"/>
      <c r="AJ22" s="376"/>
      <c r="AK22" s="372"/>
      <c r="AL22" s="372"/>
      <c r="AM22" s="372"/>
      <c r="AN22" s="376"/>
      <c r="AO22" s="372"/>
      <c r="AP22" s="372"/>
      <c r="AQ22" s="372"/>
      <c r="AR22" s="372"/>
      <c r="AS22" s="372"/>
    </row>
    <row r="23" spans="2:47" ht="14.1" customHeight="1">
      <c r="C23" s="363" t="s">
        <v>750</v>
      </c>
      <c r="D23" s="372"/>
      <c r="E23" s="372"/>
      <c r="F23" s="372"/>
      <c r="G23" s="372"/>
      <c r="H23" s="373"/>
      <c r="I23" s="374"/>
      <c r="J23" s="374"/>
      <c r="K23" s="375"/>
      <c r="L23" s="373"/>
      <c r="M23" s="374"/>
      <c r="N23" s="374"/>
      <c r="O23" s="375"/>
      <c r="P23" s="373"/>
      <c r="Q23" s="372"/>
      <c r="R23" s="372"/>
      <c r="S23" s="372"/>
      <c r="T23" s="373"/>
      <c r="U23" s="372"/>
      <c r="V23" s="372"/>
      <c r="W23" s="372"/>
      <c r="X23" s="373"/>
      <c r="Y23" s="372"/>
      <c r="Z23" s="372"/>
      <c r="AA23" s="372"/>
      <c r="AB23" s="376"/>
      <c r="AC23" s="372"/>
      <c r="AD23" s="372"/>
      <c r="AE23" s="372"/>
      <c r="AF23" s="376"/>
      <c r="AG23" s="372"/>
      <c r="AH23" s="372"/>
      <c r="AI23" s="372"/>
      <c r="AJ23" s="376"/>
      <c r="AK23" s="372"/>
      <c r="AL23" s="372"/>
      <c r="AM23" s="372"/>
      <c r="AN23" s="376"/>
      <c r="AO23" s="372"/>
      <c r="AP23" s="372"/>
      <c r="AQ23" s="372"/>
      <c r="AR23" s="372"/>
      <c r="AS23" s="372"/>
    </row>
    <row r="24" spans="2:47" ht="14.1" customHeight="1">
      <c r="B24" s="94" t="s">
        <v>771</v>
      </c>
      <c r="C24" s="86" t="s">
        <v>751</v>
      </c>
      <c r="D24" s="372" t="s">
        <v>893</v>
      </c>
      <c r="E24" s="372" t="s">
        <v>893</v>
      </c>
      <c r="F24" s="372" t="s">
        <v>893</v>
      </c>
      <c r="G24" s="372" t="s">
        <v>893</v>
      </c>
      <c r="H24" s="373" t="s">
        <v>893</v>
      </c>
      <c r="I24" s="374" t="s">
        <v>893</v>
      </c>
      <c r="J24" s="374" t="s">
        <v>893</v>
      </c>
      <c r="K24" s="375" t="s">
        <v>893</v>
      </c>
      <c r="L24" s="373" t="s">
        <v>893</v>
      </c>
      <c r="M24" s="374" t="s">
        <v>893</v>
      </c>
      <c r="N24" s="374" t="s">
        <v>893</v>
      </c>
      <c r="O24" s="375" t="s">
        <v>893</v>
      </c>
      <c r="P24" s="373" t="s">
        <v>893</v>
      </c>
      <c r="Q24" s="372" t="s">
        <v>893</v>
      </c>
      <c r="R24" s="372" t="s">
        <v>893</v>
      </c>
      <c r="S24" s="372" t="s">
        <v>893</v>
      </c>
      <c r="T24" s="373" t="s">
        <v>893</v>
      </c>
      <c r="U24" s="372" t="s">
        <v>893</v>
      </c>
      <c r="V24" s="372" t="s">
        <v>893</v>
      </c>
      <c r="W24" s="372" t="s">
        <v>893</v>
      </c>
      <c r="X24" s="373" t="s">
        <v>893</v>
      </c>
      <c r="Y24" s="372" t="s">
        <v>893</v>
      </c>
      <c r="Z24" s="372" t="s">
        <v>893</v>
      </c>
      <c r="AA24" s="372" t="s">
        <v>893</v>
      </c>
      <c r="AB24" s="376" t="s">
        <v>893</v>
      </c>
      <c r="AC24" s="372" t="s">
        <v>893</v>
      </c>
      <c r="AD24" s="372" t="s">
        <v>893</v>
      </c>
      <c r="AE24" s="372" t="s">
        <v>893</v>
      </c>
      <c r="AF24" s="376" t="s">
        <v>893</v>
      </c>
      <c r="AG24" s="372" t="s">
        <v>893</v>
      </c>
      <c r="AH24" s="372" t="s">
        <v>893</v>
      </c>
      <c r="AI24" s="372" t="s">
        <v>893</v>
      </c>
      <c r="AJ24" s="376" t="s">
        <v>893</v>
      </c>
      <c r="AK24" s="372" t="s">
        <v>893</v>
      </c>
      <c r="AL24" s="372" t="s">
        <v>893</v>
      </c>
      <c r="AM24" s="372" t="s">
        <v>893</v>
      </c>
      <c r="AN24" s="376" t="s">
        <v>893</v>
      </c>
      <c r="AO24" s="372" t="s">
        <v>893</v>
      </c>
      <c r="AP24" s="372" t="s">
        <v>893</v>
      </c>
      <c r="AQ24" s="372" t="s">
        <v>893</v>
      </c>
      <c r="AR24" s="372" t="s">
        <v>893</v>
      </c>
      <c r="AS24" s="372" t="s">
        <v>893</v>
      </c>
      <c r="AU24" s="92" t="s">
        <v>791</v>
      </c>
    </row>
    <row r="25" spans="2:47" ht="14.1" customHeight="1">
      <c r="B25" s="94" t="s">
        <v>764</v>
      </c>
      <c r="C25" s="86" t="s">
        <v>752</v>
      </c>
      <c r="D25" s="372" t="s">
        <v>893</v>
      </c>
      <c r="E25" s="372" t="s">
        <v>893</v>
      </c>
      <c r="F25" s="372" t="s">
        <v>893</v>
      </c>
      <c r="G25" s="372" t="s">
        <v>893</v>
      </c>
      <c r="H25" s="373" t="s">
        <v>893</v>
      </c>
      <c r="I25" s="374" t="s">
        <v>893</v>
      </c>
      <c r="J25" s="374" t="s">
        <v>893</v>
      </c>
      <c r="K25" s="375" t="s">
        <v>893</v>
      </c>
      <c r="L25" s="373" t="s">
        <v>893</v>
      </c>
      <c r="M25" s="374" t="s">
        <v>893</v>
      </c>
      <c r="N25" s="374" t="s">
        <v>893</v>
      </c>
      <c r="O25" s="375" t="s">
        <v>893</v>
      </c>
      <c r="P25" s="373" t="s">
        <v>893</v>
      </c>
      <c r="Q25" s="372" t="s">
        <v>893</v>
      </c>
      <c r="R25" s="372" t="s">
        <v>893</v>
      </c>
      <c r="S25" s="372" t="s">
        <v>893</v>
      </c>
      <c r="T25" s="373" t="s">
        <v>893</v>
      </c>
      <c r="U25" s="372" t="s">
        <v>893</v>
      </c>
      <c r="V25" s="372" t="s">
        <v>893</v>
      </c>
      <c r="W25" s="372" t="s">
        <v>893</v>
      </c>
      <c r="X25" s="373" t="s">
        <v>893</v>
      </c>
      <c r="Y25" s="372" t="s">
        <v>893</v>
      </c>
      <c r="Z25" s="372" t="s">
        <v>893</v>
      </c>
      <c r="AA25" s="372" t="s">
        <v>893</v>
      </c>
      <c r="AB25" s="376" t="s">
        <v>893</v>
      </c>
      <c r="AC25" s="372" t="s">
        <v>893</v>
      </c>
      <c r="AD25" s="372" t="s">
        <v>893</v>
      </c>
      <c r="AE25" s="372" t="s">
        <v>893</v>
      </c>
      <c r="AF25" s="376" t="s">
        <v>893</v>
      </c>
      <c r="AG25" s="372" t="s">
        <v>893</v>
      </c>
      <c r="AH25" s="372" t="s">
        <v>893</v>
      </c>
      <c r="AI25" s="372" t="s">
        <v>893</v>
      </c>
      <c r="AJ25" s="376" t="s">
        <v>893</v>
      </c>
      <c r="AK25" s="372" t="s">
        <v>893</v>
      </c>
      <c r="AL25" s="372" t="s">
        <v>893</v>
      </c>
      <c r="AM25" s="372" t="s">
        <v>893</v>
      </c>
      <c r="AN25" s="376" t="s">
        <v>893</v>
      </c>
      <c r="AO25" s="372" t="s">
        <v>893</v>
      </c>
      <c r="AP25" s="372" t="s">
        <v>893</v>
      </c>
      <c r="AQ25" s="372" t="s">
        <v>893</v>
      </c>
      <c r="AR25" s="372" t="s">
        <v>893</v>
      </c>
      <c r="AS25" s="372" t="s">
        <v>893</v>
      </c>
      <c r="AU25" s="92" t="s">
        <v>791</v>
      </c>
    </row>
    <row r="26" spans="2:47" ht="14.1" customHeight="1">
      <c r="B26" s="94" t="s">
        <v>771</v>
      </c>
      <c r="C26" s="86" t="s">
        <v>753</v>
      </c>
      <c r="D26" s="372" t="s">
        <v>893</v>
      </c>
      <c r="E26" s="372" t="s">
        <v>893</v>
      </c>
      <c r="F26" s="372" t="s">
        <v>893</v>
      </c>
      <c r="G26" s="372" t="s">
        <v>893</v>
      </c>
      <c r="H26" s="373" t="s">
        <v>893</v>
      </c>
      <c r="I26" s="374" t="s">
        <v>893</v>
      </c>
      <c r="J26" s="374" t="s">
        <v>893</v>
      </c>
      <c r="K26" s="375" t="s">
        <v>893</v>
      </c>
      <c r="L26" s="373" t="s">
        <v>893</v>
      </c>
      <c r="M26" s="374" t="s">
        <v>893</v>
      </c>
      <c r="N26" s="374" t="s">
        <v>893</v>
      </c>
      <c r="O26" s="375" t="s">
        <v>893</v>
      </c>
      <c r="P26" s="373" t="s">
        <v>893</v>
      </c>
      <c r="Q26" s="372" t="s">
        <v>893</v>
      </c>
      <c r="R26" s="372" t="s">
        <v>893</v>
      </c>
      <c r="S26" s="372" t="s">
        <v>893</v>
      </c>
      <c r="T26" s="373" t="s">
        <v>893</v>
      </c>
      <c r="U26" s="372" t="s">
        <v>893</v>
      </c>
      <c r="V26" s="372" t="s">
        <v>893</v>
      </c>
      <c r="W26" s="372" t="s">
        <v>893</v>
      </c>
      <c r="X26" s="373" t="s">
        <v>893</v>
      </c>
      <c r="Y26" s="372" t="s">
        <v>893</v>
      </c>
      <c r="Z26" s="372" t="s">
        <v>893</v>
      </c>
      <c r="AA26" s="372" t="s">
        <v>893</v>
      </c>
      <c r="AB26" s="376" t="s">
        <v>893</v>
      </c>
      <c r="AC26" s="372" t="s">
        <v>893</v>
      </c>
      <c r="AD26" s="372" t="s">
        <v>893</v>
      </c>
      <c r="AE26" s="372" t="s">
        <v>893</v>
      </c>
      <c r="AF26" s="376" t="s">
        <v>893</v>
      </c>
      <c r="AG26" s="372" t="s">
        <v>893</v>
      </c>
      <c r="AH26" s="372" t="s">
        <v>893</v>
      </c>
      <c r="AI26" s="372" t="s">
        <v>893</v>
      </c>
      <c r="AJ26" s="376" t="s">
        <v>893</v>
      </c>
      <c r="AK26" s="372" t="s">
        <v>893</v>
      </c>
      <c r="AL26" s="372" t="s">
        <v>893</v>
      </c>
      <c r="AM26" s="372" t="s">
        <v>893</v>
      </c>
      <c r="AN26" s="376" t="s">
        <v>893</v>
      </c>
      <c r="AO26" s="372" t="s">
        <v>893</v>
      </c>
      <c r="AP26" s="372" t="s">
        <v>893</v>
      </c>
      <c r="AQ26" s="372" t="s">
        <v>893</v>
      </c>
      <c r="AR26" s="372" t="s">
        <v>893</v>
      </c>
      <c r="AS26" s="372" t="s">
        <v>893</v>
      </c>
      <c r="AU26" s="92" t="s">
        <v>791</v>
      </c>
    </row>
    <row r="27" spans="2:47" ht="14.1" customHeight="1">
      <c r="B27" s="94" t="s">
        <v>764</v>
      </c>
      <c r="C27" s="86" t="s">
        <v>754</v>
      </c>
      <c r="D27" s="372" t="s">
        <v>893</v>
      </c>
      <c r="E27" s="372" t="s">
        <v>893</v>
      </c>
      <c r="F27" s="372" t="s">
        <v>893</v>
      </c>
      <c r="G27" s="372" t="s">
        <v>893</v>
      </c>
      <c r="H27" s="373" t="s">
        <v>893</v>
      </c>
      <c r="I27" s="374" t="s">
        <v>893</v>
      </c>
      <c r="J27" s="374" t="s">
        <v>893</v>
      </c>
      <c r="K27" s="375" t="s">
        <v>893</v>
      </c>
      <c r="L27" s="373" t="s">
        <v>893</v>
      </c>
      <c r="M27" s="374" t="s">
        <v>893</v>
      </c>
      <c r="N27" s="374" t="s">
        <v>893</v>
      </c>
      <c r="O27" s="375" t="s">
        <v>893</v>
      </c>
      <c r="P27" s="373" t="s">
        <v>893</v>
      </c>
      <c r="Q27" s="372" t="s">
        <v>893</v>
      </c>
      <c r="R27" s="372" t="s">
        <v>893</v>
      </c>
      <c r="S27" s="372" t="s">
        <v>893</v>
      </c>
      <c r="T27" s="373" t="s">
        <v>893</v>
      </c>
      <c r="U27" s="372" t="s">
        <v>893</v>
      </c>
      <c r="V27" s="372" t="s">
        <v>893</v>
      </c>
      <c r="W27" s="372" t="s">
        <v>893</v>
      </c>
      <c r="X27" s="373" t="s">
        <v>893</v>
      </c>
      <c r="Y27" s="372" t="s">
        <v>893</v>
      </c>
      <c r="Z27" s="372" t="s">
        <v>893</v>
      </c>
      <c r="AA27" s="372" t="s">
        <v>893</v>
      </c>
      <c r="AB27" s="376" t="s">
        <v>893</v>
      </c>
      <c r="AC27" s="372" t="s">
        <v>893</v>
      </c>
      <c r="AD27" s="372" t="s">
        <v>893</v>
      </c>
      <c r="AE27" s="372" t="s">
        <v>893</v>
      </c>
      <c r="AF27" s="376" t="s">
        <v>893</v>
      </c>
      <c r="AG27" s="372" t="s">
        <v>893</v>
      </c>
      <c r="AH27" s="372" t="s">
        <v>893</v>
      </c>
      <c r="AI27" s="372" t="s">
        <v>893</v>
      </c>
      <c r="AJ27" s="376" t="s">
        <v>893</v>
      </c>
      <c r="AK27" s="372" t="s">
        <v>893</v>
      </c>
      <c r="AL27" s="372" t="s">
        <v>893</v>
      </c>
      <c r="AM27" s="372" t="s">
        <v>893</v>
      </c>
      <c r="AN27" s="376" t="s">
        <v>893</v>
      </c>
      <c r="AO27" s="372" t="s">
        <v>893</v>
      </c>
      <c r="AP27" s="372" t="s">
        <v>893</v>
      </c>
      <c r="AQ27" s="372" t="s">
        <v>893</v>
      </c>
      <c r="AR27" s="372" t="s">
        <v>893</v>
      </c>
      <c r="AS27" s="372" t="s">
        <v>893</v>
      </c>
      <c r="AU27" s="92" t="s">
        <v>791</v>
      </c>
    </row>
    <row r="28" spans="2:47" ht="14.1" customHeight="1">
      <c r="C28" s="86"/>
      <c r="D28" s="372"/>
      <c r="E28" s="372"/>
      <c r="F28" s="372"/>
      <c r="G28" s="372"/>
      <c r="H28" s="373"/>
      <c r="I28" s="374"/>
      <c r="J28" s="374"/>
      <c r="K28" s="375"/>
      <c r="L28" s="373"/>
      <c r="M28" s="374"/>
      <c r="N28" s="374"/>
      <c r="O28" s="375"/>
      <c r="P28" s="373"/>
      <c r="Q28" s="372"/>
      <c r="R28" s="372"/>
      <c r="S28" s="372"/>
      <c r="T28" s="373"/>
      <c r="U28" s="372"/>
      <c r="V28" s="372"/>
      <c r="W28" s="372"/>
      <c r="X28" s="373"/>
      <c r="Y28" s="372"/>
      <c r="Z28" s="372"/>
      <c r="AA28" s="372"/>
      <c r="AB28" s="376"/>
      <c r="AC28" s="372"/>
      <c r="AD28" s="372"/>
      <c r="AE28" s="372"/>
      <c r="AF28" s="376"/>
      <c r="AG28" s="372"/>
      <c r="AH28" s="372"/>
      <c r="AI28" s="372"/>
      <c r="AJ28" s="376"/>
      <c r="AK28" s="372"/>
      <c r="AL28" s="372"/>
      <c r="AM28" s="372"/>
      <c r="AN28" s="376"/>
      <c r="AO28" s="372"/>
      <c r="AP28" s="372"/>
      <c r="AQ28" s="372"/>
      <c r="AR28" s="372"/>
      <c r="AS28" s="372"/>
    </row>
    <row r="29" spans="2:47" s="25" customFormat="1" ht="14.1" customHeight="1">
      <c r="B29" s="616"/>
      <c r="C29" s="617" t="s">
        <v>426</v>
      </c>
      <c r="D29" s="377"/>
      <c r="E29" s="377"/>
      <c r="F29" s="377"/>
      <c r="G29" s="377"/>
      <c r="H29" s="618"/>
      <c r="I29" s="619"/>
      <c r="J29" s="619"/>
      <c r="K29" s="620"/>
      <c r="L29" s="618"/>
      <c r="M29" s="619"/>
      <c r="N29" s="619"/>
      <c r="O29" s="620"/>
      <c r="P29" s="618"/>
      <c r="Q29" s="377"/>
      <c r="R29" s="377"/>
      <c r="S29" s="377"/>
      <c r="T29" s="618"/>
      <c r="U29" s="377"/>
      <c r="V29" s="377"/>
      <c r="W29" s="377"/>
      <c r="X29" s="618"/>
      <c r="Y29" s="377"/>
      <c r="Z29" s="377"/>
      <c r="AA29" s="377"/>
      <c r="AB29" s="621"/>
      <c r="AC29" s="377"/>
      <c r="AD29" s="377"/>
      <c r="AE29" s="377"/>
      <c r="AF29" s="621"/>
      <c r="AG29" s="377"/>
      <c r="AH29" s="377"/>
      <c r="AI29" s="377"/>
      <c r="AJ29" s="621"/>
      <c r="AK29" s="377"/>
      <c r="AL29" s="377"/>
      <c r="AM29" s="377"/>
      <c r="AN29" s="621"/>
      <c r="AO29" s="377"/>
      <c r="AP29" s="377"/>
      <c r="AQ29" s="377"/>
      <c r="AR29" s="377"/>
      <c r="AS29" s="377"/>
    </row>
    <row r="30" spans="2:47" s="25" customFormat="1" ht="14.1" customHeight="1">
      <c r="B30" s="616"/>
      <c r="C30" s="622"/>
      <c r="D30" s="377"/>
      <c r="E30" s="377"/>
      <c r="F30" s="377"/>
      <c r="G30" s="377"/>
      <c r="H30" s="618"/>
      <c r="I30" s="619"/>
      <c r="J30" s="619"/>
      <c r="K30" s="620"/>
      <c r="L30" s="618"/>
      <c r="M30" s="619"/>
      <c r="N30" s="619"/>
      <c r="O30" s="620"/>
      <c r="P30" s="618"/>
      <c r="Q30" s="377"/>
      <c r="R30" s="377"/>
      <c r="S30" s="377"/>
      <c r="T30" s="618"/>
      <c r="U30" s="377"/>
      <c r="V30" s="377"/>
      <c r="W30" s="377"/>
      <c r="X30" s="618"/>
      <c r="Y30" s="377"/>
      <c r="Z30" s="377"/>
      <c r="AA30" s="377"/>
      <c r="AB30" s="621"/>
      <c r="AC30" s="377"/>
      <c r="AD30" s="377"/>
      <c r="AE30" s="377"/>
      <c r="AF30" s="621"/>
      <c r="AG30" s="377"/>
      <c r="AH30" s="377"/>
      <c r="AI30" s="377"/>
      <c r="AJ30" s="621"/>
      <c r="AK30" s="377"/>
      <c r="AL30" s="377"/>
      <c r="AM30" s="377"/>
      <c r="AN30" s="621"/>
      <c r="AO30" s="377"/>
      <c r="AP30" s="377"/>
      <c r="AQ30" s="377"/>
      <c r="AR30" s="377"/>
      <c r="AS30" s="377"/>
    </row>
    <row r="31" spans="2:47" s="25" customFormat="1" ht="14.1" customHeight="1">
      <c r="B31" s="616"/>
      <c r="C31" s="622" t="s">
        <v>768</v>
      </c>
      <c r="D31" s="377"/>
      <c r="E31" s="377"/>
      <c r="F31" s="377"/>
      <c r="G31" s="377"/>
      <c r="H31" s="618"/>
      <c r="I31" s="619"/>
      <c r="J31" s="619"/>
      <c r="K31" s="620"/>
      <c r="L31" s="618"/>
      <c r="M31" s="619"/>
      <c r="N31" s="619"/>
      <c r="O31" s="620"/>
      <c r="P31" s="618"/>
      <c r="Q31" s="377"/>
      <c r="R31" s="377"/>
      <c r="S31" s="377"/>
      <c r="T31" s="618"/>
      <c r="U31" s="377"/>
      <c r="V31" s="377"/>
      <c r="W31" s="377"/>
      <c r="X31" s="618"/>
      <c r="Y31" s="377"/>
      <c r="Z31" s="377"/>
      <c r="AA31" s="377"/>
      <c r="AB31" s="621"/>
      <c r="AC31" s="377"/>
      <c r="AD31" s="377"/>
      <c r="AE31" s="377"/>
      <c r="AF31" s="621"/>
      <c r="AG31" s="377"/>
      <c r="AH31" s="377"/>
      <c r="AI31" s="377"/>
      <c r="AJ31" s="621"/>
      <c r="AK31" s="377"/>
      <c r="AL31" s="377"/>
      <c r="AM31" s="377"/>
      <c r="AN31" s="621"/>
      <c r="AO31" s="377"/>
      <c r="AP31" s="377"/>
      <c r="AQ31" s="377"/>
      <c r="AR31" s="377"/>
      <c r="AS31" s="377"/>
    </row>
    <row r="32" spans="2:47" s="25" customFormat="1" ht="14.1" customHeight="1">
      <c r="B32" s="616"/>
      <c r="C32" s="623" t="s">
        <v>759</v>
      </c>
      <c r="D32" s="624"/>
      <c r="E32" s="624"/>
      <c r="F32" s="624"/>
      <c r="G32" s="624"/>
      <c r="H32" s="625"/>
      <c r="I32" s="626"/>
      <c r="J32" s="626"/>
      <c r="K32" s="627"/>
      <c r="L32" s="618">
        <v>48.387683426500004</v>
      </c>
      <c r="M32" s="619">
        <v>43.767010098300005</v>
      </c>
      <c r="N32" s="619">
        <v>111.67484952629999</v>
      </c>
      <c r="O32" s="620">
        <v>126.7148377643</v>
      </c>
      <c r="P32" s="618">
        <v>96.055102330099984</v>
      </c>
      <c r="Q32" s="377">
        <v>72.879688347100014</v>
      </c>
      <c r="R32" s="377">
        <v>101.31369622010001</v>
      </c>
      <c r="S32" s="377">
        <v>129.31734642770002</v>
      </c>
      <c r="T32" s="618">
        <v>66.9925415246</v>
      </c>
      <c r="U32" s="377">
        <v>97.221615776100009</v>
      </c>
      <c r="V32" s="377">
        <v>137.96298589739999</v>
      </c>
      <c r="W32" s="377">
        <v>162.87876297219989</v>
      </c>
      <c r="X32" s="618">
        <v>78.618641840700008</v>
      </c>
      <c r="Y32" s="377">
        <v>123.54208397719998</v>
      </c>
      <c r="Z32" s="377">
        <v>131.46075640220005</v>
      </c>
      <c r="AA32" s="377">
        <v>146.85698791870004</v>
      </c>
      <c r="AB32" s="621">
        <v>93.939439823900031</v>
      </c>
      <c r="AC32" s="377">
        <v>116.29196466359997</v>
      </c>
      <c r="AD32" s="377">
        <v>126.97998436180018</v>
      </c>
      <c r="AE32" s="377">
        <v>127.52757931709998</v>
      </c>
      <c r="AF32" s="621">
        <v>51.208370902799999</v>
      </c>
      <c r="AG32" s="377">
        <v>89.608884061300017</v>
      </c>
      <c r="AH32" s="377">
        <v>107.26139402559994</v>
      </c>
      <c r="AI32" s="377">
        <v>130.85040585660005</v>
      </c>
      <c r="AJ32" s="621">
        <v>64.532301799599992</v>
      </c>
      <c r="AK32" s="377">
        <v>91.161565594500047</v>
      </c>
      <c r="AL32" s="377">
        <v>159.38755980910011</v>
      </c>
      <c r="AM32" s="377">
        <v>178.87808516279998</v>
      </c>
      <c r="AN32" s="621">
        <v>77.949088028799963</v>
      </c>
      <c r="AO32" s="377">
        <v>117.70268560130003</v>
      </c>
      <c r="AP32" s="377">
        <v>157.83028325740008</v>
      </c>
      <c r="AQ32" s="377">
        <v>148.67902124869988</v>
      </c>
      <c r="AR32" s="377">
        <v>46.84</v>
      </c>
      <c r="AS32" s="377">
        <v>157</v>
      </c>
    </row>
    <row r="33" spans="2:47" s="25" customFormat="1" ht="14.1" customHeight="1">
      <c r="B33" s="616" t="s">
        <v>771</v>
      </c>
      <c r="C33" s="623" t="s">
        <v>782</v>
      </c>
      <c r="D33" s="624"/>
      <c r="E33" s="624"/>
      <c r="F33" s="624"/>
      <c r="G33" s="624"/>
      <c r="H33" s="625"/>
      <c r="I33" s="626"/>
      <c r="J33" s="626"/>
      <c r="K33" s="627"/>
      <c r="L33" s="618">
        <v>145.01992326392835</v>
      </c>
      <c r="M33" s="619">
        <v>138.70240415949024</v>
      </c>
      <c r="N33" s="619">
        <v>145.66146677543776</v>
      </c>
      <c r="O33" s="620">
        <v>142.6454270406347</v>
      </c>
      <c r="P33" s="618">
        <v>144.47316232163419</v>
      </c>
      <c r="Q33" s="377">
        <v>151.57679324100934</v>
      </c>
      <c r="R33" s="377">
        <v>148.54556284654558</v>
      </c>
      <c r="S33" s="377">
        <v>149.9835016436455</v>
      </c>
      <c r="T33" s="618">
        <v>152.8953693371846</v>
      </c>
      <c r="U33" s="377">
        <v>150.04551431353903</v>
      </c>
      <c r="V33" s="377">
        <v>146.71364325042302</v>
      </c>
      <c r="W33" s="377">
        <v>140.46496110708784</v>
      </c>
      <c r="X33" s="618">
        <v>145.07331173196746</v>
      </c>
      <c r="Y33" s="377">
        <v>150.27677889491193</v>
      </c>
      <c r="Z33" s="377">
        <v>145.06841981358747</v>
      </c>
      <c r="AA33" s="377">
        <v>138.75402139367486</v>
      </c>
      <c r="AB33" s="621">
        <v>144.41836060259337</v>
      </c>
      <c r="AC33" s="377">
        <v>145.43967684111385</v>
      </c>
      <c r="AD33" s="377">
        <v>139.92314006653547</v>
      </c>
      <c r="AE33" s="377">
        <v>136.38964600010169</v>
      </c>
      <c r="AF33" s="621">
        <v>155.99249258638847</v>
      </c>
      <c r="AG33" s="377">
        <v>165.34518071023933</v>
      </c>
      <c r="AH33" s="377">
        <v>173.04617991476965</v>
      </c>
      <c r="AI33" s="377">
        <v>135.58769703334769</v>
      </c>
      <c r="AJ33" s="621">
        <v>134.95874607545451</v>
      </c>
      <c r="AK33" s="377">
        <v>112.84091883447897</v>
      </c>
      <c r="AL33" s="377">
        <v>119.03468157457962</v>
      </c>
      <c r="AM33" s="377">
        <v>122.60891090491468</v>
      </c>
      <c r="AN33" s="621">
        <v>135.99552628891954</v>
      </c>
      <c r="AO33" s="377">
        <v>136.89681632054436</v>
      </c>
      <c r="AP33" s="377">
        <v>136.38750218359922</v>
      </c>
      <c r="AQ33" s="377">
        <v>136.47966410841502</v>
      </c>
      <c r="AR33" s="377">
        <v>135.91</v>
      </c>
      <c r="AS33" s="377">
        <v>136.1</v>
      </c>
    </row>
    <row r="34" spans="2:47" s="25" customFormat="1" ht="14.1" customHeight="1">
      <c r="B34" s="616" t="s">
        <v>764</v>
      </c>
      <c r="C34" s="623" t="s">
        <v>792</v>
      </c>
      <c r="D34" s="624"/>
      <c r="E34" s="624"/>
      <c r="F34" s="624"/>
      <c r="G34" s="624"/>
      <c r="H34" s="625"/>
      <c r="I34" s="626"/>
      <c r="J34" s="626"/>
      <c r="K34" s="627"/>
      <c r="L34" s="618" t="s">
        <v>893</v>
      </c>
      <c r="M34" s="619" t="s">
        <v>893</v>
      </c>
      <c r="N34" s="619" t="s">
        <v>893</v>
      </c>
      <c r="O34" s="620" t="s">
        <v>893</v>
      </c>
      <c r="P34" s="618" t="s">
        <v>893</v>
      </c>
      <c r="Q34" s="377" t="s">
        <v>893</v>
      </c>
      <c r="R34" s="377" t="s">
        <v>893</v>
      </c>
      <c r="S34" s="377" t="s">
        <v>893</v>
      </c>
      <c r="T34" s="618" t="s">
        <v>893</v>
      </c>
      <c r="U34" s="377" t="s">
        <v>893</v>
      </c>
      <c r="V34" s="377" t="s">
        <v>893</v>
      </c>
      <c r="W34" s="377" t="s">
        <v>893</v>
      </c>
      <c r="X34" s="618" t="s">
        <v>893</v>
      </c>
      <c r="Y34" s="377" t="s">
        <v>893</v>
      </c>
      <c r="Z34" s="377" t="s">
        <v>893</v>
      </c>
      <c r="AA34" s="377" t="s">
        <v>893</v>
      </c>
      <c r="AB34" s="621" t="s">
        <v>893</v>
      </c>
      <c r="AC34" s="377" t="s">
        <v>893</v>
      </c>
      <c r="AD34" s="377" t="s">
        <v>893</v>
      </c>
      <c r="AE34" s="377" t="s">
        <v>893</v>
      </c>
      <c r="AF34" s="621" t="s">
        <v>893</v>
      </c>
      <c r="AG34" s="377" t="s">
        <v>893</v>
      </c>
      <c r="AH34" s="377" t="s">
        <v>893</v>
      </c>
      <c r="AI34" s="377" t="s">
        <v>893</v>
      </c>
      <c r="AJ34" s="621" t="s">
        <v>893</v>
      </c>
      <c r="AK34" s="377" t="s">
        <v>893</v>
      </c>
      <c r="AL34" s="377" t="s">
        <v>893</v>
      </c>
      <c r="AM34" s="377" t="s">
        <v>893</v>
      </c>
      <c r="AN34" s="621" t="s">
        <v>893</v>
      </c>
      <c r="AO34" s="377" t="s">
        <v>893</v>
      </c>
      <c r="AP34" s="377" t="s">
        <v>893</v>
      </c>
      <c r="AQ34" s="377" t="s">
        <v>893</v>
      </c>
      <c r="AR34" s="377" t="s">
        <v>893</v>
      </c>
      <c r="AS34" s="377" t="s">
        <v>893</v>
      </c>
      <c r="AU34" s="25" t="s">
        <v>793</v>
      </c>
    </row>
    <row r="35" spans="2:47" s="117" customFormat="1" ht="14.1" customHeight="1">
      <c r="B35" s="628" t="s">
        <v>771</v>
      </c>
      <c r="C35" s="623" t="s">
        <v>769</v>
      </c>
      <c r="D35" s="377"/>
      <c r="E35" s="377"/>
      <c r="F35" s="377"/>
      <c r="G35" s="377"/>
      <c r="H35" s="618"/>
      <c r="I35" s="619"/>
      <c r="J35" s="619"/>
      <c r="K35" s="620"/>
      <c r="L35" s="618">
        <v>6.3650197430898459</v>
      </c>
      <c r="M35" s="619">
        <v>2.5036907243154913</v>
      </c>
      <c r="N35" s="619">
        <v>16.16796547811516</v>
      </c>
      <c r="O35" s="620">
        <v>16.847361556857539</v>
      </c>
      <c r="P35" s="618">
        <v>23.675506823275768</v>
      </c>
      <c r="Q35" s="377">
        <v>10.64985983377669</v>
      </c>
      <c r="R35" s="377">
        <v>10.957721169268741</v>
      </c>
      <c r="S35" s="377">
        <v>24.123282376103102</v>
      </c>
      <c r="T35" s="618">
        <v>9.6017954722537606</v>
      </c>
      <c r="U35" s="377">
        <v>10.24362461751582</v>
      </c>
      <c r="V35" s="377">
        <v>21.206493560810387</v>
      </c>
      <c r="W35" s="377">
        <v>38.764165632961749</v>
      </c>
      <c r="X35" s="618">
        <v>15.685099305605075</v>
      </c>
      <c r="Y35" s="377">
        <v>17.613965064543315</v>
      </c>
      <c r="Z35" s="377">
        <v>14.236648814364329</v>
      </c>
      <c r="AA35" s="377">
        <v>31.538063583142886</v>
      </c>
      <c r="AB35" s="621">
        <v>14.50273922463202</v>
      </c>
      <c r="AC35" s="377">
        <v>19.030339694303436</v>
      </c>
      <c r="AD35" s="377">
        <v>18.012316324106138</v>
      </c>
      <c r="AE35" s="377">
        <v>26.259090261271428</v>
      </c>
      <c r="AF35" s="621">
        <v>20.679551983629239</v>
      </c>
      <c r="AG35" s="377">
        <v>8.1227937581827039</v>
      </c>
      <c r="AH35" s="377">
        <v>9.2469426077342121</v>
      </c>
      <c r="AI35" s="377">
        <v>32.291836485670487</v>
      </c>
      <c r="AJ35" s="621">
        <v>30.221046956179602</v>
      </c>
      <c r="AK35" s="377">
        <v>23.534578286375471</v>
      </c>
      <c r="AL35" s="377">
        <v>56.314239093295946</v>
      </c>
      <c r="AM35" s="377">
        <v>65.322197794052016</v>
      </c>
      <c r="AN35" s="621">
        <v>18.428722354634875</v>
      </c>
      <c r="AO35" s="377">
        <v>20.552912028704352</v>
      </c>
      <c r="AP35" s="377">
        <v>37.72743752263419</v>
      </c>
      <c r="AQ35" s="377">
        <v>38.951600523084267</v>
      </c>
      <c r="AR35" s="377">
        <v>7.53</v>
      </c>
      <c r="AS35" s="377">
        <v>40.28</v>
      </c>
    </row>
    <row r="36" spans="2:47" s="117" customFormat="1" ht="14.1" customHeight="1">
      <c r="B36" s="628" t="s">
        <v>764</v>
      </c>
      <c r="C36" s="629" t="s">
        <v>796</v>
      </c>
      <c r="D36" s="377">
        <f t="shared" ref="D36:K36" si="0">+D49</f>
        <v>217.55999999999997</v>
      </c>
      <c r="E36" s="377">
        <f t="shared" si="0"/>
        <v>200.97</v>
      </c>
      <c r="F36" s="377">
        <f t="shared" si="0"/>
        <v>188.59666666666666</v>
      </c>
      <c r="G36" s="377">
        <f t="shared" si="0"/>
        <v>167.89666666666668</v>
      </c>
      <c r="H36" s="618">
        <f t="shared" si="0"/>
        <v>239.98000000000002</v>
      </c>
      <c r="I36" s="619">
        <f t="shared" si="0"/>
        <v>252.14266666666666</v>
      </c>
      <c r="J36" s="619">
        <f t="shared" si="0"/>
        <v>182.36599999999999</v>
      </c>
      <c r="K36" s="620">
        <f t="shared" si="0"/>
        <v>171.245</v>
      </c>
      <c r="L36" s="618">
        <f>+L49</f>
        <v>287.5793333333333</v>
      </c>
      <c r="M36" s="619">
        <f t="shared" ref="M36:AQ36" si="1">+M49</f>
        <v>257.39666666666665</v>
      </c>
      <c r="N36" s="619">
        <f t="shared" si="1"/>
        <v>208.31333333333336</v>
      </c>
      <c r="O36" s="620">
        <f t="shared" si="1"/>
        <v>114.93</v>
      </c>
      <c r="P36" s="618">
        <f t="shared" si="1"/>
        <v>99.87</v>
      </c>
      <c r="Q36" s="377">
        <f t="shared" si="1"/>
        <v>98.293333333333337</v>
      </c>
      <c r="R36" s="377">
        <f t="shared" si="1"/>
        <v>81.295000000000002</v>
      </c>
      <c r="S36" s="377">
        <f t="shared" si="1"/>
        <v>85.064000000000007</v>
      </c>
      <c r="T36" s="618">
        <f t="shared" si="1"/>
        <v>65.25333333333333</v>
      </c>
      <c r="U36" s="377">
        <f t="shared" si="1"/>
        <v>67.312794533595621</v>
      </c>
      <c r="V36" s="377">
        <f t="shared" si="1"/>
        <v>61.163618179144144</v>
      </c>
      <c r="W36" s="377">
        <f t="shared" si="1"/>
        <v>47.820999999999998</v>
      </c>
      <c r="X36" s="618">
        <f t="shared" si="1"/>
        <v>77.936528189896094</v>
      </c>
      <c r="Y36" s="377">
        <f t="shared" si="1"/>
        <v>64.574793337898242</v>
      </c>
      <c r="Z36" s="377">
        <f t="shared" si="1"/>
        <v>37.103806354878529</v>
      </c>
      <c r="AA36" s="377">
        <f t="shared" si="1"/>
        <v>54.426666666666669</v>
      </c>
      <c r="AB36" s="621">
        <f t="shared" si="1"/>
        <v>70.738352866683172</v>
      </c>
      <c r="AC36" s="377">
        <f t="shared" si="1"/>
        <v>97.914516195433364</v>
      </c>
      <c r="AD36" s="377">
        <f t="shared" si="1"/>
        <v>73.434908490410393</v>
      </c>
      <c r="AE36" s="377">
        <f t="shared" si="1"/>
        <v>64.721158438623078</v>
      </c>
      <c r="AF36" s="621">
        <f t="shared" si="1"/>
        <v>103.71</v>
      </c>
      <c r="AG36" s="377">
        <f t="shared" si="1"/>
        <v>102.58866666666665</v>
      </c>
      <c r="AH36" s="377">
        <f t="shared" si="1"/>
        <v>85.831666666666663</v>
      </c>
      <c r="AI36" s="377">
        <f t="shared" si="1"/>
        <v>73.477666666666664</v>
      </c>
      <c r="AJ36" s="621">
        <f t="shared" si="1"/>
        <v>65.945999999999998</v>
      </c>
      <c r="AK36" s="377">
        <f t="shared" si="1"/>
        <v>43.073666666666668</v>
      </c>
      <c r="AL36" s="377">
        <f t="shared" si="1"/>
        <v>41.650104565774967</v>
      </c>
      <c r="AM36" s="377">
        <f t="shared" si="1"/>
        <v>37.201993602871319</v>
      </c>
      <c r="AN36" s="621">
        <f t="shared" si="1"/>
        <v>70.825951254690906</v>
      </c>
      <c r="AO36" s="377">
        <f t="shared" si="1"/>
        <v>62.795830416337736</v>
      </c>
      <c r="AP36" s="377">
        <f t="shared" si="1"/>
        <v>58.46</v>
      </c>
      <c r="AQ36" s="377">
        <f t="shared" si="1"/>
        <v>94.895440680286484</v>
      </c>
      <c r="AR36" s="377">
        <v>173.6</v>
      </c>
      <c r="AS36" s="377">
        <v>91.88</v>
      </c>
    </row>
    <row r="37" spans="2:47" s="25" customFormat="1" ht="14.1" customHeight="1">
      <c r="B37" s="616"/>
      <c r="C37" s="630"/>
      <c r="D37" s="624"/>
      <c r="E37" s="624"/>
      <c r="F37" s="624"/>
      <c r="G37" s="624"/>
      <c r="H37" s="625"/>
      <c r="I37" s="626"/>
      <c r="J37" s="626"/>
      <c r="K37" s="627"/>
      <c r="L37" s="618"/>
      <c r="M37" s="619"/>
      <c r="N37" s="619"/>
      <c r="O37" s="620"/>
      <c r="P37" s="618"/>
      <c r="Q37" s="377"/>
      <c r="R37" s="377"/>
      <c r="S37" s="377"/>
      <c r="T37" s="618"/>
      <c r="U37" s="377"/>
      <c r="V37" s="377"/>
      <c r="W37" s="377"/>
      <c r="X37" s="618"/>
      <c r="Y37" s="377"/>
      <c r="Z37" s="377"/>
      <c r="AA37" s="377"/>
      <c r="AB37" s="621"/>
      <c r="AC37" s="377"/>
      <c r="AD37" s="377"/>
      <c r="AE37" s="377"/>
      <c r="AF37" s="621"/>
      <c r="AG37" s="377"/>
      <c r="AH37" s="377"/>
      <c r="AI37" s="377"/>
      <c r="AJ37" s="621"/>
      <c r="AK37" s="377"/>
      <c r="AL37" s="377"/>
      <c r="AM37" s="377"/>
      <c r="AN37" s="621"/>
      <c r="AO37" s="377"/>
      <c r="AP37" s="377"/>
      <c r="AQ37" s="377"/>
      <c r="AR37" s="377"/>
      <c r="AS37" s="377"/>
    </row>
    <row r="38" spans="2:47" s="25" customFormat="1" ht="14.1" customHeight="1">
      <c r="B38" s="616"/>
      <c r="C38" s="622" t="s">
        <v>175</v>
      </c>
      <c r="D38" s="624"/>
      <c r="E38" s="624"/>
      <c r="F38" s="624"/>
      <c r="G38" s="624"/>
      <c r="H38" s="625"/>
      <c r="I38" s="626"/>
      <c r="J38" s="626"/>
      <c r="K38" s="627"/>
      <c r="L38" s="618"/>
      <c r="M38" s="619"/>
      <c r="N38" s="619"/>
      <c r="O38" s="620"/>
      <c r="P38" s="618"/>
      <c r="Q38" s="377"/>
      <c r="R38" s="377"/>
      <c r="S38" s="377"/>
      <c r="T38" s="618"/>
      <c r="U38" s="377"/>
      <c r="V38" s="377"/>
      <c r="W38" s="377"/>
      <c r="X38" s="618"/>
      <c r="Y38" s="377"/>
      <c r="Z38" s="377"/>
      <c r="AA38" s="377"/>
      <c r="AB38" s="621"/>
      <c r="AC38" s="377"/>
      <c r="AD38" s="377"/>
      <c r="AE38" s="377"/>
      <c r="AF38" s="621"/>
      <c r="AG38" s="377"/>
      <c r="AH38" s="377"/>
      <c r="AI38" s="377"/>
      <c r="AJ38" s="621"/>
      <c r="AK38" s="377"/>
      <c r="AL38" s="377"/>
      <c r="AM38" s="377"/>
      <c r="AN38" s="621"/>
      <c r="AO38" s="377"/>
      <c r="AP38" s="377"/>
      <c r="AQ38" s="377"/>
      <c r="AR38" s="377"/>
      <c r="AS38" s="377"/>
    </row>
    <row r="39" spans="2:47" s="25" customFormat="1" ht="14.1" customHeight="1">
      <c r="B39" s="616"/>
      <c r="C39" s="623" t="s">
        <v>760</v>
      </c>
      <c r="D39" s="624"/>
      <c r="E39" s="624"/>
      <c r="F39" s="624"/>
      <c r="G39" s="624"/>
      <c r="H39" s="625"/>
      <c r="I39" s="626"/>
      <c r="J39" s="626"/>
      <c r="K39" s="627"/>
      <c r="L39" s="618">
        <v>79.559555968750004</v>
      </c>
      <c r="M39" s="619">
        <v>55.803461249999998</v>
      </c>
      <c r="N39" s="619">
        <v>47.230689812500003</v>
      </c>
      <c r="O39" s="620">
        <v>54.645549500000001</v>
      </c>
      <c r="P39" s="618">
        <v>85.69</v>
      </c>
      <c r="Q39" s="377">
        <v>67.22421271875001</v>
      </c>
      <c r="R39" s="377">
        <v>57.595488469999999</v>
      </c>
      <c r="S39" s="377">
        <v>45.651927937499998</v>
      </c>
      <c r="T39" s="618">
        <v>78.433173124999996</v>
      </c>
      <c r="U39" s="377">
        <v>39.446953406250003</v>
      </c>
      <c r="V39" s="377">
        <v>39.075550000000007</v>
      </c>
      <c r="W39" s="377">
        <v>41.317549999999997</v>
      </c>
      <c r="X39" s="618">
        <v>60.013269999999999</v>
      </c>
      <c r="Y39" s="377">
        <v>27.966809999999999</v>
      </c>
      <c r="Z39" s="377">
        <v>27.119697349999999</v>
      </c>
      <c r="AA39" s="377">
        <v>48.502811999999999</v>
      </c>
      <c r="AB39" s="621">
        <v>82.683260000000004</v>
      </c>
      <c r="AC39" s="377">
        <v>39.48839263</v>
      </c>
      <c r="AD39" s="377">
        <v>48.713992500000003</v>
      </c>
      <c r="AE39" s="377">
        <v>49.620673437500002</v>
      </c>
      <c r="AF39" s="621">
        <v>79.906242499999991</v>
      </c>
      <c r="AG39" s="377">
        <v>40.699362812499999</v>
      </c>
      <c r="AH39" s="377">
        <v>42.750460000000004</v>
      </c>
      <c r="AI39" s="377">
        <v>45.976150000000004</v>
      </c>
      <c r="AJ39" s="621">
        <v>78.539283440000005</v>
      </c>
      <c r="AK39" s="377">
        <v>34.549695870000001</v>
      </c>
      <c r="AL39" s="377">
        <v>22.160754403814998</v>
      </c>
      <c r="AM39" s="377">
        <v>33.736013749999998</v>
      </c>
      <c r="AN39" s="621">
        <v>73.331430999999995</v>
      </c>
      <c r="AO39" s="377">
        <v>41.473986655517578</v>
      </c>
      <c r="AP39" s="377">
        <v>29.45858453979492</v>
      </c>
      <c r="AQ39" s="377">
        <v>44.909589234375005</v>
      </c>
      <c r="AR39" s="377">
        <v>75.8</v>
      </c>
      <c r="AS39" s="377">
        <v>27</v>
      </c>
    </row>
    <row r="40" spans="2:47" s="25" customFormat="1" ht="14.1" customHeight="1">
      <c r="B40" s="616" t="s">
        <v>771</v>
      </c>
      <c r="C40" s="623" t="s">
        <v>761</v>
      </c>
      <c r="D40" s="624"/>
      <c r="E40" s="624"/>
      <c r="F40" s="624"/>
      <c r="G40" s="624"/>
      <c r="H40" s="625"/>
      <c r="I40" s="626"/>
      <c r="J40" s="626"/>
      <c r="K40" s="627"/>
      <c r="L40" s="618">
        <v>79.559555968750004</v>
      </c>
      <c r="M40" s="619">
        <v>55.803461249999998</v>
      </c>
      <c r="N40" s="619">
        <v>47.230689812500003</v>
      </c>
      <c r="O40" s="620">
        <v>54.645549500000001</v>
      </c>
      <c r="P40" s="618">
        <v>85.69</v>
      </c>
      <c r="Q40" s="377">
        <v>67.22421271875001</v>
      </c>
      <c r="R40" s="377">
        <v>57.595488469999999</v>
      </c>
      <c r="S40" s="377">
        <v>45.651927937499998</v>
      </c>
      <c r="T40" s="618">
        <v>78.433173124999996</v>
      </c>
      <c r="U40" s="377">
        <v>39.446951187499998</v>
      </c>
      <c r="V40" s="377">
        <v>39.075550000000007</v>
      </c>
      <c r="W40" s="377">
        <v>41.317549999999997</v>
      </c>
      <c r="X40" s="618">
        <v>60.013269999999999</v>
      </c>
      <c r="Y40" s="377">
        <v>27.966809999999999</v>
      </c>
      <c r="Z40" s="377">
        <v>27.119697349999999</v>
      </c>
      <c r="AA40" s="377">
        <v>48.502811999999999</v>
      </c>
      <c r="AB40" s="621">
        <v>82.683260000000004</v>
      </c>
      <c r="AC40" s="377">
        <v>39.48839263</v>
      </c>
      <c r="AD40" s="377">
        <v>48.713992500000003</v>
      </c>
      <c r="AE40" s="377">
        <v>49.620673437500002</v>
      </c>
      <c r="AF40" s="621">
        <v>79.906242499999991</v>
      </c>
      <c r="AG40" s="377">
        <v>40.699362812499999</v>
      </c>
      <c r="AH40" s="377">
        <v>42.750460000000004</v>
      </c>
      <c r="AI40" s="377">
        <v>45.976150000000004</v>
      </c>
      <c r="AJ40" s="621">
        <v>78.539283440000005</v>
      </c>
      <c r="AK40" s="377">
        <v>34.549695870000001</v>
      </c>
      <c r="AL40" s="377">
        <v>22.160754403814998</v>
      </c>
      <c r="AM40" s="377">
        <v>33.736013749999998</v>
      </c>
      <c r="AN40" s="621">
        <v>73.331430999999995</v>
      </c>
      <c r="AO40" s="377">
        <v>41.473986655517578</v>
      </c>
      <c r="AP40" s="377">
        <v>29.45858453979492</v>
      </c>
      <c r="AQ40" s="377">
        <f>+AQ39</f>
        <v>44.909589234375005</v>
      </c>
      <c r="AR40" s="377">
        <f>+AR39</f>
        <v>75.8</v>
      </c>
      <c r="AS40" s="377">
        <v>27</v>
      </c>
    </row>
    <row r="41" spans="2:47" s="25" customFormat="1" ht="14.1" customHeight="1">
      <c r="B41" s="616" t="s">
        <v>764</v>
      </c>
      <c r="C41" s="623" t="s">
        <v>794</v>
      </c>
      <c r="D41" s="624"/>
      <c r="E41" s="624"/>
      <c r="F41" s="624"/>
      <c r="G41" s="624"/>
      <c r="H41" s="625"/>
      <c r="I41" s="626"/>
      <c r="J41" s="626"/>
      <c r="K41" s="627"/>
      <c r="L41" s="618" t="s">
        <v>893</v>
      </c>
      <c r="M41" s="619" t="s">
        <v>893</v>
      </c>
      <c r="N41" s="619" t="s">
        <v>893</v>
      </c>
      <c r="O41" s="620" t="s">
        <v>893</v>
      </c>
      <c r="P41" s="618" t="s">
        <v>893</v>
      </c>
      <c r="Q41" s="377" t="s">
        <v>893</v>
      </c>
      <c r="R41" s="377" t="s">
        <v>893</v>
      </c>
      <c r="S41" s="377" t="s">
        <v>893</v>
      </c>
      <c r="T41" s="618" t="s">
        <v>893</v>
      </c>
      <c r="U41" s="377" t="s">
        <v>893</v>
      </c>
      <c r="V41" s="377" t="s">
        <v>893</v>
      </c>
      <c r="W41" s="377" t="s">
        <v>893</v>
      </c>
      <c r="X41" s="618" t="s">
        <v>893</v>
      </c>
      <c r="Y41" s="377" t="s">
        <v>893</v>
      </c>
      <c r="Z41" s="377" t="s">
        <v>893</v>
      </c>
      <c r="AA41" s="377" t="s">
        <v>893</v>
      </c>
      <c r="AB41" s="621" t="s">
        <v>893</v>
      </c>
      <c r="AC41" s="377" t="s">
        <v>893</v>
      </c>
      <c r="AD41" s="377" t="s">
        <v>893</v>
      </c>
      <c r="AE41" s="377" t="s">
        <v>893</v>
      </c>
      <c r="AF41" s="621" t="s">
        <v>893</v>
      </c>
      <c r="AG41" s="377" t="s">
        <v>893</v>
      </c>
      <c r="AH41" s="377" t="s">
        <v>893</v>
      </c>
      <c r="AI41" s="377" t="s">
        <v>893</v>
      </c>
      <c r="AJ41" s="621" t="s">
        <v>893</v>
      </c>
      <c r="AK41" s="377" t="s">
        <v>893</v>
      </c>
      <c r="AL41" s="377" t="s">
        <v>893</v>
      </c>
      <c r="AM41" s="377" t="s">
        <v>893</v>
      </c>
      <c r="AN41" s="621" t="s">
        <v>893</v>
      </c>
      <c r="AO41" s="377" t="s">
        <v>893</v>
      </c>
      <c r="AP41" s="377" t="s">
        <v>893</v>
      </c>
      <c r="AQ41" s="377" t="s">
        <v>893</v>
      </c>
      <c r="AR41" s="377" t="s">
        <v>893</v>
      </c>
      <c r="AS41" s="377" t="s">
        <v>893</v>
      </c>
      <c r="AU41" s="25" t="s">
        <v>793</v>
      </c>
    </row>
    <row r="42" spans="2:47" s="25" customFormat="1" ht="14.1" customHeight="1">
      <c r="B42" s="616"/>
      <c r="C42" s="630"/>
      <c r="D42" s="624"/>
      <c r="E42" s="624"/>
      <c r="F42" s="624"/>
      <c r="G42" s="624"/>
      <c r="H42" s="625"/>
      <c r="I42" s="626"/>
      <c r="J42" s="626"/>
      <c r="K42" s="627"/>
      <c r="L42" s="618"/>
      <c r="M42" s="619"/>
      <c r="N42" s="619"/>
      <c r="O42" s="620"/>
      <c r="P42" s="618"/>
      <c r="Q42" s="377"/>
      <c r="R42" s="377"/>
      <c r="S42" s="377"/>
      <c r="T42" s="618"/>
      <c r="U42" s="377"/>
      <c r="V42" s="377"/>
      <c r="W42" s="377"/>
      <c r="X42" s="618"/>
      <c r="Y42" s="377"/>
      <c r="Z42" s="377"/>
      <c r="AA42" s="377"/>
      <c r="AB42" s="621"/>
      <c r="AC42" s="377"/>
      <c r="AD42" s="377"/>
      <c r="AE42" s="377"/>
      <c r="AF42" s="621"/>
      <c r="AG42" s="377"/>
      <c r="AH42" s="377"/>
      <c r="AI42" s="377"/>
      <c r="AJ42" s="621"/>
      <c r="AK42" s="377"/>
      <c r="AL42" s="377"/>
      <c r="AM42" s="377"/>
      <c r="AN42" s="621"/>
      <c r="AO42" s="377"/>
      <c r="AP42" s="377"/>
      <c r="AQ42" s="377"/>
      <c r="AR42" s="377"/>
      <c r="AS42" s="377"/>
    </row>
    <row r="43" spans="2:47" s="25" customFormat="1" ht="14.1" customHeight="1">
      <c r="B43" s="616"/>
      <c r="C43" s="622" t="s">
        <v>515</v>
      </c>
      <c r="D43" s="624"/>
      <c r="E43" s="624"/>
      <c r="F43" s="624"/>
      <c r="G43" s="624"/>
      <c r="H43" s="625"/>
      <c r="I43" s="626"/>
      <c r="J43" s="626"/>
      <c r="K43" s="627"/>
      <c r="L43" s="618"/>
      <c r="M43" s="619"/>
      <c r="N43" s="619"/>
      <c r="O43" s="620"/>
      <c r="P43" s="618"/>
      <c r="Q43" s="377"/>
      <c r="R43" s="377"/>
      <c r="S43" s="377"/>
      <c r="T43" s="618"/>
      <c r="U43" s="377"/>
      <c r="V43" s="377"/>
      <c r="W43" s="377"/>
      <c r="X43" s="618"/>
      <c r="Y43" s="377"/>
      <c r="Z43" s="377"/>
      <c r="AA43" s="377"/>
      <c r="AB43" s="621"/>
      <c r="AC43" s="377"/>
      <c r="AD43" s="377"/>
      <c r="AE43" s="377"/>
      <c r="AF43" s="621"/>
      <c r="AG43" s="377"/>
      <c r="AH43" s="377"/>
      <c r="AI43" s="377"/>
      <c r="AJ43" s="621"/>
      <c r="AK43" s="377"/>
      <c r="AL43" s="377"/>
      <c r="AM43" s="377"/>
      <c r="AN43" s="621"/>
      <c r="AO43" s="377"/>
      <c r="AP43" s="377"/>
      <c r="AQ43" s="377"/>
      <c r="AR43" s="377"/>
      <c r="AS43" s="377"/>
    </row>
    <row r="44" spans="2:47" s="25" customFormat="1" ht="14.1" customHeight="1">
      <c r="B44" s="616"/>
      <c r="C44" s="623" t="s">
        <v>741</v>
      </c>
      <c r="D44" s="624"/>
      <c r="E44" s="624"/>
      <c r="F44" s="624"/>
      <c r="G44" s="624"/>
      <c r="H44" s="625"/>
      <c r="I44" s="626"/>
      <c r="J44" s="626"/>
      <c r="K44" s="627"/>
      <c r="L44" s="618">
        <v>304.32373310760011</v>
      </c>
      <c r="M44" s="619">
        <v>318.5156839696001</v>
      </c>
      <c r="N44" s="619">
        <v>330.72390124970013</v>
      </c>
      <c r="O44" s="620">
        <v>171.4864456727</v>
      </c>
      <c r="P44" s="618">
        <v>236.54172716799999</v>
      </c>
      <c r="Q44" s="377">
        <v>304.84974163100014</v>
      </c>
      <c r="R44" s="377">
        <v>222.53229194140008</v>
      </c>
      <c r="S44" s="377">
        <v>187.10799589530001</v>
      </c>
      <c r="T44" s="618">
        <v>259.44382473489998</v>
      </c>
      <c r="U44" s="377">
        <v>270.52315628830002</v>
      </c>
      <c r="V44" s="377">
        <v>203.44547264329992</v>
      </c>
      <c r="W44" s="377">
        <v>132.18558277089988</v>
      </c>
      <c r="X44" s="618">
        <v>102.17452177080001</v>
      </c>
      <c r="Y44" s="377">
        <v>141.73182461690004</v>
      </c>
      <c r="Z44" s="377">
        <v>171.21776997829994</v>
      </c>
      <c r="AA44" s="377">
        <v>31.394040530499986</v>
      </c>
      <c r="AB44" s="621">
        <v>142.87117635869998</v>
      </c>
      <c r="AC44" s="377">
        <v>199.0645478015</v>
      </c>
      <c r="AD44" s="377">
        <v>43.974371721899956</v>
      </c>
      <c r="AE44" s="377">
        <v>5.7108257473999977</v>
      </c>
      <c r="AF44" s="621">
        <v>119.77882443330003</v>
      </c>
      <c r="AG44" s="377">
        <v>146.1839081551</v>
      </c>
      <c r="AH44" s="377">
        <v>121.47647252419998</v>
      </c>
      <c r="AI44" s="377">
        <v>113.54705082880005</v>
      </c>
      <c r="AJ44" s="621">
        <v>162.85022483510011</v>
      </c>
      <c r="AK44" s="377">
        <v>1.3754370549999346</v>
      </c>
      <c r="AL44" s="377">
        <v>0.11097996999999993</v>
      </c>
      <c r="AM44" s="377">
        <v>0.19778575500000001</v>
      </c>
      <c r="AN44" s="621">
        <v>12.9017397806</v>
      </c>
      <c r="AO44" s="377">
        <v>8.8036707859000085</v>
      </c>
      <c r="AP44" s="377">
        <v>13.722672254100003</v>
      </c>
      <c r="AQ44" s="377">
        <v>26.008055110900006</v>
      </c>
      <c r="AR44" s="377">
        <v>58.88</v>
      </c>
      <c r="AS44" s="377">
        <v>12</v>
      </c>
    </row>
    <row r="45" spans="2:47" s="25" customFormat="1" ht="14.1" customHeight="1">
      <c r="B45" s="616" t="s">
        <v>771</v>
      </c>
      <c r="C45" s="623" t="s">
        <v>844</v>
      </c>
      <c r="D45" s="624"/>
      <c r="E45" s="624"/>
      <c r="F45" s="624"/>
      <c r="G45" s="624"/>
      <c r="H45" s="625"/>
      <c r="I45" s="626"/>
      <c r="J45" s="626"/>
      <c r="K45" s="627"/>
      <c r="L45" s="618">
        <v>169.9802617769237</v>
      </c>
      <c r="M45" s="619">
        <v>163.2207444160307</v>
      </c>
      <c r="N45" s="619">
        <v>169.65450909351711</v>
      </c>
      <c r="O45" s="620">
        <v>169.10947981563709</v>
      </c>
      <c r="P45" s="618">
        <v>170.18888699999999</v>
      </c>
      <c r="Q45" s="377">
        <v>184.21754345647543</v>
      </c>
      <c r="R45" s="377">
        <v>174.15916631308733</v>
      </c>
      <c r="S45" s="377">
        <v>176.2731189186168</v>
      </c>
      <c r="T45" s="618">
        <v>180.9063966791152</v>
      </c>
      <c r="U45" s="377">
        <v>171.892501659348</v>
      </c>
      <c r="V45" s="377">
        <v>169.6451820567161</v>
      </c>
      <c r="W45" s="377">
        <v>161.53818530436391</v>
      </c>
      <c r="X45" s="618">
        <v>165.27290166175422</v>
      </c>
      <c r="Y45" s="377">
        <v>168.7251598026279</v>
      </c>
      <c r="Z45" s="377">
        <v>162.38526079656421</v>
      </c>
      <c r="AA45" s="377">
        <v>158.18227058959957</v>
      </c>
      <c r="AB45" s="621">
        <v>159.58825439201232</v>
      </c>
      <c r="AC45" s="377">
        <v>162.84210787625221</v>
      </c>
      <c r="AD45" s="377">
        <v>152.980467114118</v>
      </c>
      <c r="AE45" s="377">
        <v>146.40087202712343</v>
      </c>
      <c r="AF45" s="621">
        <v>0</v>
      </c>
      <c r="AG45" s="377">
        <v>0</v>
      </c>
      <c r="AH45" s="377">
        <v>0</v>
      </c>
      <c r="AI45" s="377">
        <v>28.288377341700002</v>
      </c>
      <c r="AJ45" s="621">
        <v>52.573834457400004</v>
      </c>
      <c r="AK45" s="377">
        <v>0</v>
      </c>
      <c r="AL45" s="377">
        <v>0</v>
      </c>
      <c r="AM45" s="377">
        <v>0</v>
      </c>
      <c r="AN45" s="621">
        <v>0</v>
      </c>
      <c r="AO45" s="377">
        <v>0</v>
      </c>
      <c r="AP45" s="377">
        <v>0</v>
      </c>
      <c r="AQ45" s="377">
        <v>0</v>
      </c>
      <c r="AR45" s="377">
        <v>0</v>
      </c>
      <c r="AS45" s="377">
        <v>0</v>
      </c>
    </row>
    <row r="46" spans="2:47" s="25" customFormat="1" ht="14.1" customHeight="1">
      <c r="B46" s="616" t="s">
        <v>771</v>
      </c>
      <c r="C46" s="623" t="s">
        <v>845</v>
      </c>
      <c r="D46" s="624"/>
      <c r="E46" s="624"/>
      <c r="F46" s="624"/>
      <c r="G46" s="624"/>
      <c r="H46" s="625"/>
      <c r="I46" s="626"/>
      <c r="J46" s="626"/>
      <c r="K46" s="627"/>
      <c r="L46" s="618">
        <v>92.343365865500004</v>
      </c>
      <c r="M46" s="619">
        <v>88.838832555099998</v>
      </c>
      <c r="N46" s="619">
        <v>101.12225588517856</v>
      </c>
      <c r="O46" s="620">
        <v>88.553254865599996</v>
      </c>
      <c r="P46" s="618">
        <v>94.898078074500006</v>
      </c>
      <c r="Q46" s="377">
        <v>100.62187350790001</v>
      </c>
      <c r="R46" s="377">
        <v>103.52363053410005</v>
      </c>
      <c r="S46" s="377">
        <v>102.74769714850001</v>
      </c>
      <c r="T46" s="618">
        <v>101.94138072989999</v>
      </c>
      <c r="U46" s="377">
        <v>99.111565706699992</v>
      </c>
      <c r="V46" s="377">
        <v>102.25796979190001</v>
      </c>
      <c r="W46" s="377">
        <v>100.8370546158</v>
      </c>
      <c r="X46" s="618">
        <v>97.95204304089998</v>
      </c>
      <c r="Y46" s="377">
        <v>108.17653115370007</v>
      </c>
      <c r="Z46" s="377">
        <v>103.18763851760002</v>
      </c>
      <c r="AA46" s="377">
        <v>100.44160655129997</v>
      </c>
      <c r="AB46" s="621">
        <v>101.54500183920001</v>
      </c>
      <c r="AC46" s="377">
        <v>43.981217328200046</v>
      </c>
      <c r="AD46" s="377">
        <v>38.571540726199999</v>
      </c>
      <c r="AE46" s="377">
        <v>5.6296263353999993</v>
      </c>
      <c r="AF46" s="621">
        <v>40.01150468649999</v>
      </c>
      <c r="AG46" s="377">
        <v>68.894093169800016</v>
      </c>
      <c r="AH46" s="377">
        <v>102.49093140330001</v>
      </c>
      <c r="AI46" s="377">
        <v>117.75118870240001</v>
      </c>
      <c r="AJ46" s="621">
        <v>34.208969258800003</v>
      </c>
      <c r="AK46" s="377">
        <v>18.805293673600005</v>
      </c>
      <c r="AL46" s="377">
        <v>22.654500887999991</v>
      </c>
      <c r="AM46" s="377">
        <v>30.989392684000002</v>
      </c>
      <c r="AN46" s="621">
        <v>27.412417199400004</v>
      </c>
      <c r="AO46" s="377">
        <v>32.38922774249999</v>
      </c>
      <c r="AP46" s="377">
        <v>33.0737144836</v>
      </c>
      <c r="AQ46" s="377">
        <v>31.544978124100002</v>
      </c>
      <c r="AR46" s="377">
        <v>32.01</v>
      </c>
      <c r="AS46" s="377">
        <v>33.979999999999997</v>
      </c>
    </row>
    <row r="47" spans="2:47" s="25" customFormat="1" ht="14.1" customHeight="1">
      <c r="B47" s="616" t="s">
        <v>764</v>
      </c>
      <c r="C47" s="623" t="s">
        <v>795</v>
      </c>
      <c r="D47" s="624"/>
      <c r="E47" s="624"/>
      <c r="F47" s="624"/>
      <c r="G47" s="624"/>
      <c r="H47" s="625"/>
      <c r="I47" s="626"/>
      <c r="J47" s="626"/>
      <c r="K47" s="627"/>
      <c r="L47" s="618" t="s">
        <v>893</v>
      </c>
      <c r="M47" s="619" t="s">
        <v>893</v>
      </c>
      <c r="N47" s="619" t="s">
        <v>893</v>
      </c>
      <c r="O47" s="620" t="s">
        <v>893</v>
      </c>
      <c r="P47" s="618" t="s">
        <v>893</v>
      </c>
      <c r="Q47" s="377" t="s">
        <v>893</v>
      </c>
      <c r="R47" s="377" t="s">
        <v>893</v>
      </c>
      <c r="S47" s="377" t="s">
        <v>893</v>
      </c>
      <c r="T47" s="618" t="s">
        <v>893</v>
      </c>
      <c r="U47" s="377" t="s">
        <v>893</v>
      </c>
      <c r="V47" s="377" t="s">
        <v>893</v>
      </c>
      <c r="W47" s="377" t="s">
        <v>893</v>
      </c>
      <c r="X47" s="618" t="s">
        <v>893</v>
      </c>
      <c r="Y47" s="377" t="s">
        <v>893</v>
      </c>
      <c r="Z47" s="377" t="s">
        <v>893</v>
      </c>
      <c r="AA47" s="377" t="s">
        <v>893</v>
      </c>
      <c r="AB47" s="621" t="s">
        <v>893</v>
      </c>
      <c r="AC47" s="377" t="s">
        <v>893</v>
      </c>
      <c r="AD47" s="377" t="s">
        <v>893</v>
      </c>
      <c r="AE47" s="377" t="s">
        <v>893</v>
      </c>
      <c r="AF47" s="621" t="s">
        <v>893</v>
      </c>
      <c r="AG47" s="377" t="s">
        <v>893</v>
      </c>
      <c r="AH47" s="377" t="s">
        <v>893</v>
      </c>
      <c r="AI47" s="377" t="s">
        <v>893</v>
      </c>
      <c r="AJ47" s="621" t="s">
        <v>893</v>
      </c>
      <c r="AK47" s="377" t="s">
        <v>893</v>
      </c>
      <c r="AL47" s="377" t="s">
        <v>893</v>
      </c>
      <c r="AM47" s="377" t="s">
        <v>893</v>
      </c>
      <c r="AN47" s="621" t="s">
        <v>893</v>
      </c>
      <c r="AO47" s="377" t="s">
        <v>893</v>
      </c>
      <c r="AP47" s="377" t="s">
        <v>893</v>
      </c>
      <c r="AQ47" s="377" t="s">
        <v>893</v>
      </c>
      <c r="AR47" s="377" t="s">
        <v>893</v>
      </c>
      <c r="AS47" s="377" t="s">
        <v>893</v>
      </c>
      <c r="AU47" s="25" t="s">
        <v>793</v>
      </c>
    </row>
    <row r="48" spans="2:47" s="25" customFormat="1" ht="14.1" customHeight="1">
      <c r="B48" s="616" t="s">
        <v>771</v>
      </c>
      <c r="C48" s="623" t="s">
        <v>847</v>
      </c>
      <c r="D48" s="624"/>
      <c r="E48" s="624"/>
      <c r="F48" s="624"/>
      <c r="G48" s="624"/>
      <c r="H48" s="625"/>
      <c r="I48" s="626"/>
      <c r="J48" s="626"/>
      <c r="K48" s="627"/>
      <c r="L48" s="625" t="s">
        <v>159</v>
      </c>
      <c r="M48" s="626" t="s">
        <v>159</v>
      </c>
      <c r="N48" s="626" t="s">
        <v>159</v>
      </c>
      <c r="O48" s="627" t="s">
        <v>159</v>
      </c>
      <c r="P48" s="618">
        <v>17.133430322100001</v>
      </c>
      <c r="Q48" s="377">
        <v>23.004934939499918</v>
      </c>
      <c r="R48" s="377">
        <v>4.5824650401000078</v>
      </c>
      <c r="S48" s="377">
        <v>7.4479963822999977</v>
      </c>
      <c r="T48" s="618">
        <v>9.5605559933000066</v>
      </c>
      <c r="U48" s="377">
        <v>14.744181496599996</v>
      </c>
      <c r="V48" s="377">
        <v>3.2617635575000024</v>
      </c>
      <c r="W48" s="377">
        <v>6.8181404920000048</v>
      </c>
      <c r="X48" s="618">
        <v>18.745813145297006</v>
      </c>
      <c r="Y48" s="377">
        <v>5.9382393747630005</v>
      </c>
      <c r="Z48" s="377">
        <v>6.3979192599480008</v>
      </c>
      <c r="AA48" s="377">
        <v>1.3460512538919989</v>
      </c>
      <c r="AB48" s="621">
        <v>2.8610895653549977</v>
      </c>
      <c r="AC48" s="377">
        <v>19.978711687125003</v>
      </c>
      <c r="AD48" s="377">
        <v>1.8933895387199993</v>
      </c>
      <c r="AE48" s="377">
        <v>2.7923283036926967</v>
      </c>
      <c r="AF48" s="621">
        <v>15.960917726235746</v>
      </c>
      <c r="AG48" s="377">
        <v>14.501667695144908</v>
      </c>
      <c r="AH48" s="377">
        <v>1.187021286755082</v>
      </c>
      <c r="AI48" s="377">
        <v>-0.58704778339999986</v>
      </c>
      <c r="AJ48" s="621">
        <v>5.8394594868999956</v>
      </c>
      <c r="AK48" s="377">
        <v>0.2775697504999971</v>
      </c>
      <c r="AL48" s="377">
        <v>0.29140564950000786</v>
      </c>
      <c r="AM48" s="377">
        <v>0.47970747559999993</v>
      </c>
      <c r="AN48" s="621">
        <v>10.913157326201395</v>
      </c>
      <c r="AO48" s="377">
        <v>4.55742259519862</v>
      </c>
      <c r="AP48" s="377">
        <v>10.472246190699984</v>
      </c>
      <c r="AQ48" s="377">
        <v>18.783805465099995</v>
      </c>
      <c r="AR48" s="377">
        <v>47.07</v>
      </c>
      <c r="AS48" s="377">
        <v>8.5399999999999991</v>
      </c>
    </row>
    <row r="49" spans="2:47" s="117" customFormat="1" ht="14.1" customHeight="1">
      <c r="B49" s="628" t="s">
        <v>764</v>
      </c>
      <c r="C49" s="629" t="s">
        <v>796</v>
      </c>
      <c r="D49" s="377">
        <f>+D$71</f>
        <v>217.55999999999997</v>
      </c>
      <c r="E49" s="377">
        <f t="shared" ref="E49:AR49" si="2">+E$71</f>
        <v>200.97</v>
      </c>
      <c r="F49" s="377">
        <f t="shared" si="2"/>
        <v>188.59666666666666</v>
      </c>
      <c r="G49" s="377">
        <f t="shared" si="2"/>
        <v>167.89666666666668</v>
      </c>
      <c r="H49" s="618">
        <f t="shared" si="2"/>
        <v>239.98000000000002</v>
      </c>
      <c r="I49" s="619">
        <f t="shared" si="2"/>
        <v>252.14266666666666</v>
      </c>
      <c r="J49" s="619">
        <f t="shared" si="2"/>
        <v>182.36599999999999</v>
      </c>
      <c r="K49" s="620">
        <f t="shared" si="2"/>
        <v>171.245</v>
      </c>
      <c r="L49" s="618">
        <f t="shared" si="2"/>
        <v>287.5793333333333</v>
      </c>
      <c r="M49" s="619">
        <f t="shared" si="2"/>
        <v>257.39666666666665</v>
      </c>
      <c r="N49" s="619">
        <f t="shared" si="2"/>
        <v>208.31333333333336</v>
      </c>
      <c r="O49" s="620">
        <f t="shared" si="2"/>
        <v>114.93</v>
      </c>
      <c r="P49" s="618">
        <f t="shared" si="2"/>
        <v>99.87</v>
      </c>
      <c r="Q49" s="377">
        <f t="shared" si="2"/>
        <v>98.293333333333337</v>
      </c>
      <c r="R49" s="377">
        <f t="shared" si="2"/>
        <v>81.295000000000002</v>
      </c>
      <c r="S49" s="377">
        <f t="shared" si="2"/>
        <v>85.064000000000007</v>
      </c>
      <c r="T49" s="618">
        <f t="shared" si="2"/>
        <v>65.25333333333333</v>
      </c>
      <c r="U49" s="377">
        <f t="shared" si="2"/>
        <v>67.312794533595621</v>
      </c>
      <c r="V49" s="377">
        <f t="shared" si="2"/>
        <v>61.163618179144144</v>
      </c>
      <c r="W49" s="377">
        <f t="shared" si="2"/>
        <v>47.820999999999998</v>
      </c>
      <c r="X49" s="618">
        <f t="shared" si="2"/>
        <v>77.936528189896094</v>
      </c>
      <c r="Y49" s="377">
        <f t="shared" si="2"/>
        <v>64.574793337898242</v>
      </c>
      <c r="Z49" s="377">
        <f t="shared" si="2"/>
        <v>37.103806354878529</v>
      </c>
      <c r="AA49" s="377">
        <f t="shared" si="2"/>
        <v>54.426666666666669</v>
      </c>
      <c r="AB49" s="621">
        <f t="shared" si="2"/>
        <v>70.738352866683172</v>
      </c>
      <c r="AC49" s="377">
        <f t="shared" si="2"/>
        <v>97.914516195433364</v>
      </c>
      <c r="AD49" s="377">
        <f t="shared" si="2"/>
        <v>73.434908490410393</v>
      </c>
      <c r="AE49" s="377">
        <f t="shared" si="2"/>
        <v>64.721158438623078</v>
      </c>
      <c r="AF49" s="621">
        <f t="shared" si="2"/>
        <v>103.71</v>
      </c>
      <c r="AG49" s="377">
        <f t="shared" si="2"/>
        <v>102.58866666666665</v>
      </c>
      <c r="AH49" s="377">
        <f t="shared" si="2"/>
        <v>85.831666666666663</v>
      </c>
      <c r="AI49" s="377">
        <f t="shared" si="2"/>
        <v>73.477666666666664</v>
      </c>
      <c r="AJ49" s="621">
        <f t="shared" si="2"/>
        <v>65.945999999999998</v>
      </c>
      <c r="AK49" s="377">
        <f t="shared" si="2"/>
        <v>43.073666666666668</v>
      </c>
      <c r="AL49" s="377">
        <f t="shared" si="2"/>
        <v>41.650104565774967</v>
      </c>
      <c r="AM49" s="377">
        <f t="shared" si="2"/>
        <v>37.201993602871319</v>
      </c>
      <c r="AN49" s="621">
        <f t="shared" si="2"/>
        <v>70.825951254690906</v>
      </c>
      <c r="AO49" s="377">
        <f t="shared" si="2"/>
        <v>62.795830416337736</v>
      </c>
      <c r="AP49" s="377">
        <f>+AP$71</f>
        <v>58.46</v>
      </c>
      <c r="AQ49" s="377">
        <f t="shared" si="2"/>
        <v>94.895440680286484</v>
      </c>
      <c r="AR49" s="377">
        <f t="shared" si="2"/>
        <v>173.6</v>
      </c>
      <c r="AS49" s="377">
        <v>91.88</v>
      </c>
    </row>
    <row r="50" spans="2:47" s="25" customFormat="1" ht="14.1" customHeight="1">
      <c r="B50" s="616"/>
      <c r="D50" s="624"/>
      <c r="E50" s="624"/>
      <c r="F50" s="624"/>
      <c r="G50" s="624"/>
      <c r="H50" s="625"/>
      <c r="I50" s="626"/>
      <c r="J50" s="626"/>
      <c r="K50" s="627"/>
      <c r="L50" s="618"/>
      <c r="M50" s="619"/>
      <c r="N50" s="619"/>
      <c r="O50" s="620"/>
      <c r="P50" s="618"/>
      <c r="Q50" s="377"/>
      <c r="R50" s="377"/>
      <c r="S50" s="377"/>
      <c r="T50" s="618"/>
      <c r="U50" s="377"/>
      <c r="V50" s="377"/>
      <c r="W50" s="377"/>
      <c r="X50" s="618"/>
      <c r="Y50" s="377"/>
      <c r="Z50" s="377"/>
      <c r="AA50" s="377"/>
      <c r="AB50" s="621"/>
      <c r="AC50" s="377"/>
      <c r="AD50" s="377"/>
      <c r="AE50" s="377"/>
      <c r="AF50" s="621"/>
      <c r="AG50" s="377"/>
      <c r="AH50" s="377"/>
      <c r="AI50" s="377"/>
      <c r="AJ50" s="621"/>
      <c r="AK50" s="377"/>
      <c r="AL50" s="377"/>
      <c r="AM50" s="377"/>
      <c r="AN50" s="621"/>
      <c r="AO50" s="377"/>
      <c r="AP50" s="377"/>
      <c r="AQ50" s="377"/>
      <c r="AR50" s="377"/>
      <c r="AS50" s="377"/>
    </row>
    <row r="51" spans="2:47" s="25" customFormat="1" ht="14.1" customHeight="1">
      <c r="B51" s="616"/>
      <c r="C51" s="622" t="s">
        <v>326</v>
      </c>
      <c r="D51" s="624"/>
      <c r="E51" s="624"/>
      <c r="F51" s="624"/>
      <c r="G51" s="624"/>
      <c r="H51" s="625"/>
      <c r="I51" s="626"/>
      <c r="J51" s="626"/>
      <c r="K51" s="627"/>
      <c r="L51" s="618"/>
      <c r="M51" s="619"/>
      <c r="N51" s="619"/>
      <c r="O51" s="620"/>
      <c r="P51" s="618"/>
      <c r="Q51" s="377"/>
      <c r="R51" s="377"/>
      <c r="S51" s="377"/>
      <c r="T51" s="618"/>
      <c r="U51" s="377"/>
      <c r="V51" s="377"/>
      <c r="W51" s="377"/>
      <c r="X51" s="618"/>
      <c r="Y51" s="377"/>
      <c r="Z51" s="377"/>
      <c r="AA51" s="377"/>
      <c r="AB51" s="621"/>
      <c r="AC51" s="377"/>
      <c r="AD51" s="377"/>
      <c r="AE51" s="377"/>
      <c r="AF51" s="621"/>
      <c r="AG51" s="377"/>
      <c r="AH51" s="377"/>
      <c r="AI51" s="377"/>
      <c r="AJ51" s="621"/>
      <c r="AK51" s="377"/>
      <c r="AL51" s="377"/>
      <c r="AM51" s="377"/>
      <c r="AN51" s="621"/>
      <c r="AO51" s="377"/>
      <c r="AP51" s="377"/>
      <c r="AQ51" s="377"/>
      <c r="AR51" s="377"/>
      <c r="AS51" s="377"/>
    </row>
    <row r="52" spans="2:47" s="637" customFormat="1" ht="14.1" customHeight="1">
      <c r="B52" s="631"/>
      <c r="C52" s="623" t="s">
        <v>785</v>
      </c>
      <c r="D52" s="632">
        <v>0</v>
      </c>
      <c r="E52" s="632">
        <v>0</v>
      </c>
      <c r="F52" s="632">
        <v>0</v>
      </c>
      <c r="G52" s="633">
        <v>0</v>
      </c>
      <c r="H52" s="632">
        <v>0</v>
      </c>
      <c r="I52" s="632">
        <v>0</v>
      </c>
      <c r="J52" s="632">
        <v>0</v>
      </c>
      <c r="K52" s="632">
        <v>0</v>
      </c>
      <c r="L52" s="634">
        <v>0</v>
      </c>
      <c r="M52" s="632">
        <v>0</v>
      </c>
      <c r="N52" s="632">
        <v>0</v>
      </c>
      <c r="O52" s="633">
        <v>0</v>
      </c>
      <c r="P52" s="634">
        <v>0</v>
      </c>
      <c r="Q52" s="635">
        <v>0</v>
      </c>
      <c r="R52" s="635">
        <v>0</v>
      </c>
      <c r="S52" s="635">
        <v>0</v>
      </c>
      <c r="T52" s="634">
        <v>0</v>
      </c>
      <c r="U52" s="635">
        <v>0</v>
      </c>
      <c r="V52" s="635">
        <v>0</v>
      </c>
      <c r="W52" s="635">
        <v>0</v>
      </c>
      <c r="X52" s="634">
        <v>0</v>
      </c>
      <c r="Y52" s="635">
        <v>0</v>
      </c>
      <c r="Z52" s="635">
        <v>0</v>
      </c>
      <c r="AA52" s="635">
        <v>0</v>
      </c>
      <c r="AB52" s="636">
        <v>0</v>
      </c>
      <c r="AC52" s="635">
        <v>0</v>
      </c>
      <c r="AD52" s="635">
        <v>0</v>
      </c>
      <c r="AE52" s="635">
        <v>1.4305532919999997</v>
      </c>
      <c r="AF52" s="636">
        <v>4.2403684090000002</v>
      </c>
      <c r="AG52" s="635">
        <v>3.1618552699999993</v>
      </c>
      <c r="AH52" s="635">
        <v>3.0572388150000007</v>
      </c>
      <c r="AI52" s="635">
        <v>3.4530889919999974</v>
      </c>
      <c r="AJ52" s="636">
        <v>6.888003654000002</v>
      </c>
      <c r="AK52" s="635">
        <v>4.7271262679999992</v>
      </c>
      <c r="AL52" s="635">
        <v>7.121584702999999</v>
      </c>
      <c r="AM52" s="635">
        <v>6.6568819369999988</v>
      </c>
      <c r="AN52" s="636">
        <v>8.1785995979999999</v>
      </c>
      <c r="AO52" s="635">
        <v>7.2278229100000004</v>
      </c>
      <c r="AP52" s="635">
        <v>8.7336741432999982</v>
      </c>
      <c r="AQ52" s="635">
        <v>10.826463120000001</v>
      </c>
      <c r="AR52" s="635">
        <v>13.03</v>
      </c>
      <c r="AS52" s="635">
        <v>11</v>
      </c>
    </row>
    <row r="53" spans="2:47" s="637" customFormat="1" ht="14.1" customHeight="1">
      <c r="B53" s="631"/>
      <c r="C53" s="623"/>
      <c r="D53" s="632"/>
      <c r="E53" s="632"/>
      <c r="F53" s="632"/>
      <c r="G53" s="632"/>
      <c r="H53" s="632"/>
      <c r="I53" s="632"/>
      <c r="J53" s="632"/>
      <c r="K53" s="632"/>
      <c r="L53" s="634"/>
      <c r="M53" s="632"/>
      <c r="N53" s="632"/>
      <c r="O53" s="633"/>
      <c r="P53" s="634"/>
      <c r="Q53" s="635"/>
      <c r="R53" s="635"/>
      <c r="S53" s="635"/>
      <c r="T53" s="634"/>
      <c r="U53" s="635"/>
      <c r="V53" s="635"/>
      <c r="W53" s="635"/>
      <c r="X53" s="634"/>
      <c r="Y53" s="635"/>
      <c r="Z53" s="635"/>
      <c r="AA53" s="635"/>
      <c r="AB53" s="636"/>
      <c r="AC53" s="635"/>
      <c r="AD53" s="635"/>
      <c r="AE53" s="635"/>
      <c r="AF53" s="636"/>
      <c r="AG53" s="635"/>
      <c r="AH53" s="635"/>
      <c r="AI53" s="635"/>
      <c r="AJ53" s="636"/>
      <c r="AK53" s="635"/>
      <c r="AL53" s="635"/>
      <c r="AM53" s="635"/>
      <c r="AN53" s="636"/>
      <c r="AO53" s="635"/>
      <c r="AP53" s="635"/>
      <c r="AQ53" s="635"/>
      <c r="AR53" s="635"/>
      <c r="AS53" s="635"/>
    </row>
    <row r="54" spans="2:47" s="637" customFormat="1" ht="14.1" customHeight="1">
      <c r="B54" s="631"/>
      <c r="C54" s="623" t="s">
        <v>786</v>
      </c>
      <c r="D54" s="638"/>
      <c r="E54" s="638"/>
      <c r="F54" s="638"/>
      <c r="G54" s="638"/>
      <c r="H54" s="639"/>
      <c r="I54" s="640"/>
      <c r="J54" s="640"/>
      <c r="K54" s="641"/>
      <c r="L54" s="634">
        <v>0</v>
      </c>
      <c r="M54" s="632">
        <v>0</v>
      </c>
      <c r="N54" s="632">
        <v>0</v>
      </c>
      <c r="O54" s="633">
        <v>0</v>
      </c>
      <c r="P54" s="634">
        <v>0</v>
      </c>
      <c r="Q54" s="635">
        <v>0</v>
      </c>
      <c r="R54" s="635">
        <v>0</v>
      </c>
      <c r="S54" s="635">
        <v>0</v>
      </c>
      <c r="T54" s="634">
        <v>0</v>
      </c>
      <c r="U54" s="635">
        <v>0</v>
      </c>
      <c r="V54" s="635">
        <v>0</v>
      </c>
      <c r="W54" s="635">
        <v>0</v>
      </c>
      <c r="X54" s="634">
        <v>0</v>
      </c>
      <c r="Y54" s="635">
        <v>0</v>
      </c>
      <c r="Z54" s="635">
        <v>0</v>
      </c>
      <c r="AA54" s="635">
        <v>0</v>
      </c>
      <c r="AB54" s="636">
        <v>0</v>
      </c>
      <c r="AC54" s="635">
        <v>0</v>
      </c>
      <c r="AD54" s="635">
        <v>0</v>
      </c>
      <c r="AE54" s="635">
        <v>1.4305532919999997</v>
      </c>
      <c r="AF54" s="636">
        <v>4.2403684090000002</v>
      </c>
      <c r="AG54" s="635">
        <v>3.1618552699999993</v>
      </c>
      <c r="AH54" s="635">
        <v>3.0572388150000007</v>
      </c>
      <c r="AI54" s="635">
        <v>3.4530889919999974</v>
      </c>
      <c r="AJ54" s="636">
        <v>4.4910516540000014</v>
      </c>
      <c r="AK54" s="635">
        <v>3.0873722679999993</v>
      </c>
      <c r="AL54" s="635">
        <v>3.1540997029999991</v>
      </c>
      <c r="AM54" s="635">
        <v>3.2407889369999987</v>
      </c>
      <c r="AN54" s="636">
        <v>4.0677205379999997</v>
      </c>
      <c r="AO54" s="635">
        <v>3.1410285099999999</v>
      </c>
      <c r="AP54" s="635">
        <v>3.1595825232999992</v>
      </c>
      <c r="AQ54" s="635">
        <v>3.254023999100002</v>
      </c>
      <c r="AR54" s="635">
        <v>4.38</v>
      </c>
      <c r="AS54" s="635">
        <v>3.26</v>
      </c>
    </row>
    <row r="55" spans="2:47" s="637" customFormat="1" ht="14.1" customHeight="1">
      <c r="B55" s="631" t="s">
        <v>771</v>
      </c>
      <c r="C55" s="623" t="s">
        <v>789</v>
      </c>
      <c r="D55" s="638"/>
      <c r="E55" s="638"/>
      <c r="F55" s="638"/>
      <c r="G55" s="638"/>
      <c r="H55" s="639"/>
      <c r="I55" s="640"/>
      <c r="J55" s="640"/>
      <c r="K55" s="641"/>
      <c r="L55" s="634">
        <v>0</v>
      </c>
      <c r="M55" s="632">
        <v>0</v>
      </c>
      <c r="N55" s="632">
        <v>0</v>
      </c>
      <c r="O55" s="633">
        <v>0</v>
      </c>
      <c r="P55" s="634">
        <v>0</v>
      </c>
      <c r="Q55" s="635">
        <v>0</v>
      </c>
      <c r="R55" s="635">
        <v>0</v>
      </c>
      <c r="S55" s="635">
        <v>0</v>
      </c>
      <c r="T55" s="634">
        <v>0</v>
      </c>
      <c r="U55" s="635">
        <v>0</v>
      </c>
      <c r="V55" s="635">
        <v>0</v>
      </c>
      <c r="W55" s="635">
        <v>0</v>
      </c>
      <c r="X55" s="634">
        <v>0</v>
      </c>
      <c r="Y55" s="635">
        <v>0</v>
      </c>
      <c r="Z55" s="635">
        <v>0</v>
      </c>
      <c r="AA55" s="635">
        <v>0</v>
      </c>
      <c r="AB55" s="636">
        <v>0</v>
      </c>
      <c r="AC55" s="635">
        <v>0</v>
      </c>
      <c r="AD55" s="635">
        <v>0</v>
      </c>
      <c r="AE55" s="635">
        <v>0</v>
      </c>
      <c r="AF55" s="636">
        <v>0</v>
      </c>
      <c r="AG55" s="635">
        <v>3.1649823790000005</v>
      </c>
      <c r="AH55" s="635">
        <v>3.0572388150000007</v>
      </c>
      <c r="AI55" s="635">
        <v>3.4530889919999974</v>
      </c>
      <c r="AJ55" s="636">
        <v>4.4910516540000014</v>
      </c>
      <c r="AK55" s="635">
        <v>3.0873722679999993</v>
      </c>
      <c r="AL55" s="635">
        <v>3.1540997029999991</v>
      </c>
      <c r="AM55" s="635">
        <v>3.2407889369999987</v>
      </c>
      <c r="AN55" s="636">
        <v>4.0677205379999997</v>
      </c>
      <c r="AO55" s="635">
        <v>3.1410285099999999</v>
      </c>
      <c r="AP55" s="635">
        <v>3.1595825232999992</v>
      </c>
      <c r="AQ55" s="635">
        <v>3.254023999100002</v>
      </c>
      <c r="AR55" s="635">
        <f>+AR54</f>
        <v>4.38</v>
      </c>
      <c r="AS55" s="635">
        <v>3.26</v>
      </c>
    </row>
    <row r="56" spans="2:47" s="637" customFormat="1" ht="14.1" hidden="1" customHeight="1">
      <c r="B56" s="631"/>
      <c r="C56" s="623" t="s">
        <v>797</v>
      </c>
      <c r="D56" s="638"/>
      <c r="E56" s="638"/>
      <c r="F56" s="638"/>
      <c r="G56" s="638"/>
      <c r="H56" s="640"/>
      <c r="I56" s="640"/>
      <c r="J56" s="640"/>
      <c r="K56" s="640"/>
      <c r="L56" s="634"/>
      <c r="M56" s="632"/>
      <c r="N56" s="632"/>
      <c r="O56" s="633"/>
      <c r="P56" s="634"/>
      <c r="Q56" s="635"/>
      <c r="R56" s="635"/>
      <c r="S56" s="635"/>
      <c r="T56" s="634"/>
      <c r="U56" s="635"/>
      <c r="V56" s="635"/>
      <c r="W56" s="635"/>
      <c r="X56" s="634"/>
      <c r="Y56" s="635"/>
      <c r="Z56" s="635"/>
      <c r="AA56" s="635"/>
      <c r="AB56" s="636"/>
      <c r="AC56" s="635"/>
      <c r="AD56" s="635"/>
      <c r="AE56" s="635"/>
      <c r="AF56" s="636"/>
      <c r="AG56" s="635"/>
      <c r="AH56" s="635"/>
      <c r="AI56" s="635"/>
      <c r="AJ56" s="636"/>
      <c r="AK56" s="635"/>
      <c r="AL56" s="635"/>
      <c r="AM56" s="635"/>
      <c r="AN56" s="636"/>
      <c r="AO56" s="635"/>
      <c r="AP56" s="635"/>
      <c r="AQ56" s="635"/>
      <c r="AR56" s="635"/>
      <c r="AS56" s="635"/>
      <c r="AU56" s="25" t="s">
        <v>793</v>
      </c>
    </row>
    <row r="57" spans="2:47" s="637" customFormat="1" ht="14.1" customHeight="1">
      <c r="B57" s="631"/>
      <c r="C57" s="623"/>
      <c r="D57" s="638"/>
      <c r="E57" s="638"/>
      <c r="F57" s="638"/>
      <c r="G57" s="638"/>
      <c r="H57" s="639"/>
      <c r="I57" s="640"/>
      <c r="J57" s="640"/>
      <c r="K57" s="641"/>
      <c r="L57" s="634"/>
      <c r="M57" s="632"/>
      <c r="N57" s="632"/>
      <c r="O57" s="633"/>
      <c r="P57" s="634"/>
      <c r="Q57" s="635"/>
      <c r="R57" s="635"/>
      <c r="S57" s="635"/>
      <c r="T57" s="634"/>
      <c r="U57" s="635"/>
      <c r="V57" s="635"/>
      <c r="W57" s="635"/>
      <c r="X57" s="634"/>
      <c r="Y57" s="635"/>
      <c r="Z57" s="635"/>
      <c r="AA57" s="635"/>
      <c r="AB57" s="636"/>
      <c r="AC57" s="635"/>
      <c r="AD57" s="635"/>
      <c r="AE57" s="635"/>
      <c r="AF57" s="636"/>
      <c r="AG57" s="635"/>
      <c r="AH57" s="635"/>
      <c r="AI57" s="635"/>
      <c r="AJ57" s="636"/>
      <c r="AK57" s="635"/>
      <c r="AL57" s="635"/>
      <c r="AM57" s="635"/>
      <c r="AN57" s="636"/>
      <c r="AO57" s="635"/>
      <c r="AP57" s="635"/>
      <c r="AQ57" s="635"/>
      <c r="AR57" s="635"/>
      <c r="AS57" s="635"/>
    </row>
    <row r="58" spans="2:47" s="637" customFormat="1" ht="14.1" customHeight="1">
      <c r="B58" s="631"/>
      <c r="C58" s="623" t="s">
        <v>787</v>
      </c>
      <c r="D58" s="638"/>
      <c r="E58" s="638"/>
      <c r="F58" s="638"/>
      <c r="G58" s="638"/>
      <c r="H58" s="639"/>
      <c r="I58" s="640"/>
      <c r="J58" s="640"/>
      <c r="K58" s="641"/>
      <c r="L58" s="634">
        <v>0</v>
      </c>
      <c r="M58" s="632">
        <v>0</v>
      </c>
      <c r="N58" s="632">
        <v>0</v>
      </c>
      <c r="O58" s="633">
        <v>0</v>
      </c>
      <c r="P58" s="634">
        <v>0</v>
      </c>
      <c r="Q58" s="635">
        <v>0</v>
      </c>
      <c r="R58" s="635">
        <v>0</v>
      </c>
      <c r="S58" s="635">
        <v>0</v>
      </c>
      <c r="T58" s="634">
        <v>0</v>
      </c>
      <c r="U58" s="635">
        <v>0</v>
      </c>
      <c r="V58" s="635">
        <v>0</v>
      </c>
      <c r="W58" s="635">
        <v>0</v>
      </c>
      <c r="X58" s="634">
        <v>0</v>
      </c>
      <c r="Y58" s="635">
        <v>0</v>
      </c>
      <c r="Z58" s="635">
        <v>0</v>
      </c>
      <c r="AA58" s="635">
        <v>0</v>
      </c>
      <c r="AB58" s="636">
        <v>0</v>
      </c>
      <c r="AC58" s="635">
        <v>0</v>
      </c>
      <c r="AD58" s="635">
        <v>0</v>
      </c>
      <c r="AE58" s="635">
        <v>0</v>
      </c>
      <c r="AF58" s="636">
        <v>0</v>
      </c>
      <c r="AG58" s="635">
        <v>0</v>
      </c>
      <c r="AH58" s="635">
        <v>0</v>
      </c>
      <c r="AI58" s="635">
        <v>0</v>
      </c>
      <c r="AJ58" s="636">
        <v>2.3969519999999997</v>
      </c>
      <c r="AK58" s="635">
        <v>1.6397539999999999</v>
      </c>
      <c r="AL58" s="635">
        <v>3.9674849999999999</v>
      </c>
      <c r="AM58" s="635">
        <v>3.416093</v>
      </c>
      <c r="AN58" s="636">
        <v>4.1108790600000003</v>
      </c>
      <c r="AO58" s="635">
        <v>4.0867943999999996</v>
      </c>
      <c r="AP58" s="635">
        <v>4.2760258699999998</v>
      </c>
      <c r="AQ58" s="635">
        <v>3.7736053300000001</v>
      </c>
      <c r="AR58" s="635">
        <v>3.79</v>
      </c>
      <c r="AS58" s="635">
        <v>4.1900000000000004</v>
      </c>
    </row>
    <row r="59" spans="2:47" s="637" customFormat="1" ht="14.1" customHeight="1">
      <c r="B59" s="631" t="s">
        <v>771</v>
      </c>
      <c r="C59" s="623" t="s">
        <v>783</v>
      </c>
      <c r="D59" s="632">
        <v>0</v>
      </c>
      <c r="E59" s="632">
        <v>0</v>
      </c>
      <c r="F59" s="632">
        <v>0</v>
      </c>
      <c r="G59" s="633">
        <v>0</v>
      </c>
      <c r="H59" s="632">
        <v>0</v>
      </c>
      <c r="I59" s="632">
        <v>0</v>
      </c>
      <c r="J59" s="632">
        <v>0</v>
      </c>
      <c r="K59" s="632">
        <v>0</v>
      </c>
      <c r="L59" s="634">
        <v>0</v>
      </c>
      <c r="M59" s="632">
        <v>0</v>
      </c>
      <c r="N59" s="632">
        <v>0</v>
      </c>
      <c r="O59" s="633">
        <v>0</v>
      </c>
      <c r="P59" s="634">
        <v>0</v>
      </c>
      <c r="Q59" s="635">
        <v>0</v>
      </c>
      <c r="R59" s="635">
        <v>0</v>
      </c>
      <c r="S59" s="635">
        <v>0</v>
      </c>
      <c r="T59" s="634">
        <v>0</v>
      </c>
      <c r="U59" s="635">
        <v>0</v>
      </c>
      <c r="V59" s="635">
        <v>0</v>
      </c>
      <c r="W59" s="635">
        <v>0</v>
      </c>
      <c r="X59" s="634">
        <v>0</v>
      </c>
      <c r="Y59" s="635">
        <v>0</v>
      </c>
      <c r="Z59" s="635">
        <v>0</v>
      </c>
      <c r="AA59" s="635">
        <v>0</v>
      </c>
      <c r="AB59" s="636">
        <v>0</v>
      </c>
      <c r="AC59" s="635">
        <v>0</v>
      </c>
      <c r="AD59" s="635">
        <v>0</v>
      </c>
      <c r="AE59" s="635">
        <v>0</v>
      </c>
      <c r="AF59" s="636">
        <v>0</v>
      </c>
      <c r="AG59" s="635">
        <v>0</v>
      </c>
      <c r="AH59" s="635">
        <v>0</v>
      </c>
      <c r="AI59" s="635">
        <v>0</v>
      </c>
      <c r="AJ59" s="636">
        <v>2.3969519999999997</v>
      </c>
      <c r="AK59" s="635">
        <v>1.6397539999999999</v>
      </c>
      <c r="AL59" s="635">
        <v>3.9674849999999999</v>
      </c>
      <c r="AM59" s="635">
        <v>3.416093</v>
      </c>
      <c r="AN59" s="636">
        <v>4.1108790600000003</v>
      </c>
      <c r="AO59" s="635">
        <v>4.0867943999999996</v>
      </c>
      <c r="AP59" s="635">
        <v>4.2760258699999998</v>
      </c>
      <c r="AQ59" s="635">
        <v>3.7736053300000001</v>
      </c>
      <c r="AR59" s="635">
        <f>+AR58</f>
        <v>3.79</v>
      </c>
      <c r="AS59" s="635">
        <v>4.1900000000000004</v>
      </c>
    </row>
    <row r="60" spans="2:47" s="637" customFormat="1" ht="14.1" hidden="1" customHeight="1">
      <c r="B60" s="631"/>
      <c r="C60" s="623" t="s">
        <v>798</v>
      </c>
      <c r="D60" s="638"/>
      <c r="E60" s="638"/>
      <c r="F60" s="638"/>
      <c r="G60" s="638"/>
      <c r="H60" s="640"/>
      <c r="I60" s="640"/>
      <c r="J60" s="640"/>
      <c r="K60" s="640"/>
      <c r="L60" s="634"/>
      <c r="M60" s="632"/>
      <c r="N60" s="632"/>
      <c r="O60" s="633"/>
      <c r="P60" s="634"/>
      <c r="Q60" s="635"/>
      <c r="R60" s="635"/>
      <c r="S60" s="635"/>
      <c r="T60" s="634"/>
      <c r="U60" s="635"/>
      <c r="V60" s="635"/>
      <c r="W60" s="635"/>
      <c r="X60" s="634"/>
      <c r="Y60" s="635"/>
      <c r="Z60" s="635"/>
      <c r="AA60" s="635"/>
      <c r="AB60" s="636"/>
      <c r="AC60" s="635"/>
      <c r="AD60" s="635"/>
      <c r="AE60" s="635"/>
      <c r="AF60" s="636"/>
      <c r="AG60" s="635"/>
      <c r="AH60" s="635"/>
      <c r="AI60" s="635"/>
      <c r="AJ60" s="636"/>
      <c r="AK60" s="635"/>
      <c r="AL60" s="635"/>
      <c r="AM60" s="635"/>
      <c r="AN60" s="636"/>
      <c r="AO60" s="635"/>
      <c r="AP60" s="635"/>
      <c r="AQ60" s="635"/>
      <c r="AR60" s="635"/>
      <c r="AS60" s="635"/>
      <c r="AU60" s="25" t="s">
        <v>793</v>
      </c>
    </row>
    <row r="61" spans="2:47" s="637" customFormat="1" ht="14.1" customHeight="1">
      <c r="B61" s="631"/>
      <c r="C61" s="623"/>
      <c r="D61" s="638"/>
      <c r="E61" s="638"/>
      <c r="F61" s="638"/>
      <c r="G61" s="638"/>
      <c r="H61" s="640"/>
      <c r="I61" s="640"/>
      <c r="J61" s="640"/>
      <c r="K61" s="640"/>
      <c r="L61" s="634"/>
      <c r="M61" s="632"/>
      <c r="N61" s="632"/>
      <c r="O61" s="633"/>
      <c r="P61" s="634"/>
      <c r="Q61" s="635"/>
      <c r="R61" s="635"/>
      <c r="S61" s="635"/>
      <c r="T61" s="634"/>
      <c r="U61" s="635"/>
      <c r="V61" s="635"/>
      <c r="W61" s="635"/>
      <c r="X61" s="634"/>
      <c r="Y61" s="635"/>
      <c r="Z61" s="635"/>
      <c r="AA61" s="635"/>
      <c r="AB61" s="636"/>
      <c r="AC61" s="635"/>
      <c r="AD61" s="635"/>
      <c r="AE61" s="635"/>
      <c r="AF61" s="636"/>
      <c r="AG61" s="635"/>
      <c r="AH61" s="635"/>
      <c r="AI61" s="635"/>
      <c r="AJ61" s="636"/>
      <c r="AK61" s="635"/>
      <c r="AL61" s="635"/>
      <c r="AM61" s="635"/>
      <c r="AN61" s="636"/>
      <c r="AO61" s="635"/>
      <c r="AP61" s="635"/>
      <c r="AQ61" s="635"/>
      <c r="AR61" s="635"/>
      <c r="AS61" s="635"/>
    </row>
    <row r="62" spans="2:47" s="637" customFormat="1" ht="14.1" customHeight="1">
      <c r="B62" s="631"/>
      <c r="C62" s="623" t="s">
        <v>788</v>
      </c>
      <c r="D62" s="632">
        <v>0</v>
      </c>
      <c r="E62" s="632">
        <v>0</v>
      </c>
      <c r="F62" s="632">
        <v>0</v>
      </c>
      <c r="G62" s="633">
        <v>0</v>
      </c>
      <c r="H62" s="632">
        <v>0</v>
      </c>
      <c r="I62" s="632">
        <v>0</v>
      </c>
      <c r="J62" s="632">
        <v>0</v>
      </c>
      <c r="K62" s="632">
        <v>0</v>
      </c>
      <c r="L62" s="634">
        <v>0</v>
      </c>
      <c r="M62" s="632">
        <v>0</v>
      </c>
      <c r="N62" s="632">
        <v>0</v>
      </c>
      <c r="O62" s="633">
        <v>0</v>
      </c>
      <c r="P62" s="634">
        <v>0</v>
      </c>
      <c r="Q62" s="635">
        <v>0</v>
      </c>
      <c r="R62" s="635">
        <v>0</v>
      </c>
      <c r="S62" s="635">
        <v>0</v>
      </c>
      <c r="T62" s="634">
        <v>0</v>
      </c>
      <c r="U62" s="635">
        <v>0</v>
      </c>
      <c r="V62" s="635">
        <v>0</v>
      </c>
      <c r="W62" s="635">
        <v>0</v>
      </c>
      <c r="X62" s="634">
        <v>0</v>
      </c>
      <c r="Y62" s="635">
        <v>0</v>
      </c>
      <c r="Z62" s="635">
        <v>0</v>
      </c>
      <c r="AA62" s="635">
        <v>0</v>
      </c>
      <c r="AB62" s="636">
        <v>0</v>
      </c>
      <c r="AC62" s="635">
        <v>0</v>
      </c>
      <c r="AD62" s="635">
        <v>0</v>
      </c>
      <c r="AE62" s="635">
        <v>0</v>
      </c>
      <c r="AF62" s="636">
        <v>0</v>
      </c>
      <c r="AG62" s="635">
        <v>0</v>
      </c>
      <c r="AH62" s="635">
        <v>0</v>
      </c>
      <c r="AI62" s="635">
        <v>0</v>
      </c>
      <c r="AJ62" s="636">
        <v>0</v>
      </c>
      <c r="AK62" s="635">
        <v>0</v>
      </c>
      <c r="AL62" s="635">
        <v>0</v>
      </c>
      <c r="AM62" s="635">
        <v>0</v>
      </c>
      <c r="AN62" s="636">
        <v>0</v>
      </c>
      <c r="AO62" s="635">
        <v>0</v>
      </c>
      <c r="AP62" s="635">
        <v>1.2980657499999995</v>
      </c>
      <c r="AQ62" s="635">
        <v>3.798833790899999</v>
      </c>
      <c r="AR62" s="635">
        <v>4.9000000000000004</v>
      </c>
      <c r="AS62" s="635">
        <v>3.53</v>
      </c>
    </row>
    <row r="63" spans="2:47" s="637" customFormat="1" ht="14.1" customHeight="1">
      <c r="B63" s="631" t="s">
        <v>771</v>
      </c>
      <c r="C63" s="623" t="s">
        <v>784</v>
      </c>
      <c r="D63" s="632">
        <v>0</v>
      </c>
      <c r="E63" s="632">
        <v>0</v>
      </c>
      <c r="F63" s="632">
        <v>0</v>
      </c>
      <c r="G63" s="633">
        <v>0</v>
      </c>
      <c r="H63" s="632">
        <v>0</v>
      </c>
      <c r="I63" s="632">
        <v>0</v>
      </c>
      <c r="J63" s="632">
        <v>0</v>
      </c>
      <c r="K63" s="632">
        <v>0</v>
      </c>
      <c r="L63" s="634">
        <v>0</v>
      </c>
      <c r="M63" s="632">
        <v>0</v>
      </c>
      <c r="N63" s="632">
        <v>0</v>
      </c>
      <c r="O63" s="633">
        <v>0</v>
      </c>
      <c r="P63" s="634">
        <v>0</v>
      </c>
      <c r="Q63" s="635">
        <v>0</v>
      </c>
      <c r="R63" s="635">
        <v>0</v>
      </c>
      <c r="S63" s="635">
        <v>0</v>
      </c>
      <c r="T63" s="634">
        <v>0</v>
      </c>
      <c r="U63" s="635">
        <v>0</v>
      </c>
      <c r="V63" s="635">
        <v>0</v>
      </c>
      <c r="W63" s="635">
        <v>0</v>
      </c>
      <c r="X63" s="634">
        <v>0</v>
      </c>
      <c r="Y63" s="635">
        <v>0</v>
      </c>
      <c r="Z63" s="635">
        <v>0</v>
      </c>
      <c r="AA63" s="635">
        <v>0</v>
      </c>
      <c r="AB63" s="636">
        <v>0</v>
      </c>
      <c r="AC63" s="635">
        <v>0</v>
      </c>
      <c r="AD63" s="635">
        <v>0</v>
      </c>
      <c r="AE63" s="635">
        <v>0</v>
      </c>
      <c r="AF63" s="636">
        <v>0</v>
      </c>
      <c r="AG63" s="635">
        <v>0</v>
      </c>
      <c r="AH63" s="635">
        <v>0</v>
      </c>
      <c r="AI63" s="635">
        <v>0</v>
      </c>
      <c r="AJ63" s="636">
        <v>0</v>
      </c>
      <c r="AK63" s="635">
        <v>0</v>
      </c>
      <c r="AL63" s="635">
        <v>0</v>
      </c>
      <c r="AM63" s="635">
        <v>0</v>
      </c>
      <c r="AN63" s="636">
        <v>0</v>
      </c>
      <c r="AO63" s="635">
        <v>0</v>
      </c>
      <c r="AP63" s="635">
        <v>1.2980657499999995</v>
      </c>
      <c r="AQ63" s="635">
        <v>3.5733165568</v>
      </c>
      <c r="AR63" s="635">
        <f>+AR62</f>
        <v>4.9000000000000004</v>
      </c>
      <c r="AS63" s="635">
        <v>3.53</v>
      </c>
    </row>
    <row r="64" spans="2:47" s="637" customFormat="1" ht="14.1" customHeight="1">
      <c r="B64" s="631"/>
      <c r="C64" s="623"/>
      <c r="D64" s="632"/>
      <c r="E64" s="632"/>
      <c r="F64" s="632"/>
      <c r="G64" s="632"/>
      <c r="H64" s="632"/>
      <c r="I64" s="632"/>
      <c r="J64" s="632"/>
      <c r="K64" s="632"/>
      <c r="L64" s="634"/>
      <c r="M64" s="632"/>
      <c r="N64" s="632"/>
      <c r="O64" s="633"/>
      <c r="P64" s="634"/>
      <c r="Q64" s="635"/>
      <c r="R64" s="635"/>
      <c r="S64" s="635"/>
      <c r="T64" s="634"/>
      <c r="U64" s="635"/>
      <c r="V64" s="635"/>
      <c r="W64" s="635"/>
      <c r="X64" s="634"/>
      <c r="Y64" s="635"/>
      <c r="Z64" s="635"/>
      <c r="AA64" s="635"/>
      <c r="AB64" s="636"/>
      <c r="AC64" s="635"/>
      <c r="AD64" s="635"/>
      <c r="AE64" s="635"/>
      <c r="AF64" s="636"/>
      <c r="AG64" s="635"/>
      <c r="AH64" s="635"/>
      <c r="AI64" s="635"/>
      <c r="AJ64" s="636"/>
      <c r="AK64" s="635"/>
      <c r="AL64" s="635"/>
      <c r="AM64" s="635"/>
      <c r="AN64" s="636"/>
      <c r="AO64" s="635"/>
      <c r="AP64" s="635"/>
      <c r="AQ64" s="635"/>
      <c r="AR64" s="635"/>
      <c r="AS64" s="635"/>
    </row>
    <row r="65" spans="2:45" s="117" customFormat="1" ht="14.1" customHeight="1">
      <c r="B65" s="628" t="s">
        <v>764</v>
      </c>
      <c r="C65" s="629" t="s">
        <v>770</v>
      </c>
      <c r="D65" s="377">
        <f>+D$71</f>
        <v>217.55999999999997</v>
      </c>
      <c r="E65" s="377">
        <f t="shared" ref="E65:AR65" si="3">+E$71</f>
        <v>200.97</v>
      </c>
      <c r="F65" s="377">
        <f t="shared" si="3"/>
        <v>188.59666666666666</v>
      </c>
      <c r="G65" s="377">
        <f t="shared" si="3"/>
        <v>167.89666666666668</v>
      </c>
      <c r="H65" s="618">
        <f t="shared" si="3"/>
        <v>239.98000000000002</v>
      </c>
      <c r="I65" s="619">
        <f t="shared" si="3"/>
        <v>252.14266666666666</v>
      </c>
      <c r="J65" s="619">
        <f t="shared" si="3"/>
        <v>182.36599999999999</v>
      </c>
      <c r="K65" s="620">
        <f t="shared" si="3"/>
        <v>171.245</v>
      </c>
      <c r="L65" s="618">
        <f t="shared" si="3"/>
        <v>287.5793333333333</v>
      </c>
      <c r="M65" s="619">
        <f t="shared" si="3"/>
        <v>257.39666666666665</v>
      </c>
      <c r="N65" s="619">
        <f t="shared" si="3"/>
        <v>208.31333333333336</v>
      </c>
      <c r="O65" s="620">
        <f t="shared" si="3"/>
        <v>114.93</v>
      </c>
      <c r="P65" s="618">
        <f t="shared" si="3"/>
        <v>99.87</v>
      </c>
      <c r="Q65" s="377">
        <f t="shared" si="3"/>
        <v>98.293333333333337</v>
      </c>
      <c r="R65" s="377">
        <f t="shared" si="3"/>
        <v>81.295000000000002</v>
      </c>
      <c r="S65" s="377">
        <f t="shared" si="3"/>
        <v>85.064000000000007</v>
      </c>
      <c r="T65" s="618">
        <f t="shared" si="3"/>
        <v>65.25333333333333</v>
      </c>
      <c r="U65" s="377">
        <f t="shared" si="3"/>
        <v>67.312794533595621</v>
      </c>
      <c r="V65" s="377">
        <f t="shared" si="3"/>
        <v>61.163618179144144</v>
      </c>
      <c r="W65" s="377">
        <f t="shared" si="3"/>
        <v>47.820999999999998</v>
      </c>
      <c r="X65" s="618">
        <f t="shared" si="3"/>
        <v>77.936528189896094</v>
      </c>
      <c r="Y65" s="377">
        <f t="shared" si="3"/>
        <v>64.574793337898242</v>
      </c>
      <c r="Z65" s="377">
        <f t="shared" si="3"/>
        <v>37.103806354878529</v>
      </c>
      <c r="AA65" s="377">
        <f t="shared" si="3"/>
        <v>54.426666666666669</v>
      </c>
      <c r="AB65" s="621">
        <f t="shared" si="3"/>
        <v>70.738352866683172</v>
      </c>
      <c r="AC65" s="377">
        <f t="shared" si="3"/>
        <v>97.914516195433364</v>
      </c>
      <c r="AD65" s="377">
        <f t="shared" si="3"/>
        <v>73.434908490410393</v>
      </c>
      <c r="AE65" s="377">
        <f t="shared" si="3"/>
        <v>64.721158438623078</v>
      </c>
      <c r="AF65" s="621">
        <f t="shared" si="3"/>
        <v>103.71</v>
      </c>
      <c r="AG65" s="377">
        <f t="shared" si="3"/>
        <v>102.58866666666665</v>
      </c>
      <c r="AH65" s="377">
        <f t="shared" si="3"/>
        <v>85.831666666666663</v>
      </c>
      <c r="AI65" s="377">
        <f t="shared" si="3"/>
        <v>73.477666666666664</v>
      </c>
      <c r="AJ65" s="621">
        <f t="shared" si="3"/>
        <v>65.945999999999998</v>
      </c>
      <c r="AK65" s="377">
        <f t="shared" si="3"/>
        <v>43.073666666666668</v>
      </c>
      <c r="AL65" s="377">
        <f t="shared" si="3"/>
        <v>41.650104565774967</v>
      </c>
      <c r="AM65" s="377">
        <f t="shared" si="3"/>
        <v>37.201993602871319</v>
      </c>
      <c r="AN65" s="621">
        <f t="shared" si="3"/>
        <v>70.825951254690906</v>
      </c>
      <c r="AO65" s="377">
        <f t="shared" si="3"/>
        <v>62.795830416337736</v>
      </c>
      <c r="AP65" s="377">
        <f t="shared" si="3"/>
        <v>58.46</v>
      </c>
      <c r="AQ65" s="377">
        <f t="shared" si="3"/>
        <v>94.895440680286484</v>
      </c>
      <c r="AR65" s="377">
        <f t="shared" si="3"/>
        <v>173.6</v>
      </c>
      <c r="AS65" s="377">
        <v>91.88</v>
      </c>
    </row>
    <row r="66" spans="2:45" s="25" customFormat="1" ht="14.1" customHeight="1">
      <c r="B66" s="616"/>
      <c r="C66" s="642"/>
      <c r="D66" s="624"/>
      <c r="E66" s="624"/>
      <c r="F66" s="624"/>
      <c r="G66" s="624"/>
      <c r="H66" s="625"/>
      <c r="I66" s="626"/>
      <c r="J66" s="626"/>
      <c r="K66" s="627"/>
      <c r="L66" s="618"/>
      <c r="M66" s="619"/>
      <c r="N66" s="619"/>
      <c r="O66" s="620"/>
      <c r="P66" s="618"/>
      <c r="Q66" s="377"/>
      <c r="R66" s="377"/>
      <c r="S66" s="377"/>
      <c r="T66" s="618"/>
      <c r="U66" s="377"/>
      <c r="V66" s="377"/>
      <c r="W66" s="377"/>
      <c r="X66" s="618"/>
      <c r="Y66" s="377"/>
      <c r="Z66" s="377"/>
      <c r="AA66" s="377"/>
      <c r="AB66" s="621"/>
      <c r="AC66" s="377"/>
      <c r="AD66" s="377"/>
      <c r="AE66" s="377"/>
      <c r="AF66" s="621"/>
      <c r="AG66" s="377"/>
      <c r="AH66" s="377"/>
      <c r="AI66" s="377"/>
      <c r="AJ66" s="621"/>
      <c r="AK66" s="377"/>
      <c r="AL66" s="377"/>
      <c r="AM66" s="377"/>
      <c r="AN66" s="621"/>
      <c r="AO66" s="377"/>
      <c r="AP66" s="377"/>
      <c r="AQ66" s="377"/>
      <c r="AR66" s="377"/>
      <c r="AS66" s="377"/>
    </row>
    <row r="67" spans="2:45" s="25" customFormat="1" ht="14.1" customHeight="1">
      <c r="B67" s="616"/>
      <c r="C67" s="622" t="s">
        <v>772</v>
      </c>
      <c r="D67" s="377"/>
      <c r="E67" s="377"/>
      <c r="F67" s="377"/>
      <c r="G67" s="377"/>
      <c r="H67" s="618"/>
      <c r="I67" s="619"/>
      <c r="J67" s="619"/>
      <c r="K67" s="620"/>
      <c r="L67" s="618"/>
      <c r="M67" s="619"/>
      <c r="N67" s="619"/>
      <c r="O67" s="620"/>
      <c r="P67" s="618"/>
      <c r="Q67" s="377"/>
      <c r="R67" s="377"/>
      <c r="S67" s="377"/>
      <c r="T67" s="618"/>
      <c r="U67" s="377"/>
      <c r="V67" s="377"/>
      <c r="W67" s="377"/>
      <c r="X67" s="618"/>
      <c r="Y67" s="377"/>
      <c r="Z67" s="377"/>
      <c r="AA67" s="377"/>
      <c r="AB67" s="621"/>
      <c r="AC67" s="377"/>
      <c r="AD67" s="377"/>
      <c r="AE67" s="377"/>
      <c r="AF67" s="621"/>
      <c r="AG67" s="377"/>
      <c r="AH67" s="377"/>
      <c r="AI67" s="377"/>
      <c r="AJ67" s="621"/>
      <c r="AK67" s="377"/>
      <c r="AL67" s="377"/>
      <c r="AM67" s="377"/>
      <c r="AN67" s="621"/>
      <c r="AO67" s="377"/>
      <c r="AP67" s="377"/>
      <c r="AQ67" s="377"/>
      <c r="AR67" s="377"/>
      <c r="AS67" s="377"/>
    </row>
    <row r="68" spans="2:45" s="25" customFormat="1" ht="14.1" customHeight="1">
      <c r="B68" s="616"/>
      <c r="C68" s="25" t="s">
        <v>846</v>
      </c>
      <c r="D68" s="624" t="s">
        <v>159</v>
      </c>
      <c r="E68" s="624" t="s">
        <v>159</v>
      </c>
      <c r="F68" s="624" t="s">
        <v>159</v>
      </c>
      <c r="G68" s="624" t="s">
        <v>159</v>
      </c>
      <c r="H68" s="625" t="s">
        <v>159</v>
      </c>
      <c r="I68" s="626" t="s">
        <v>159</v>
      </c>
      <c r="J68" s="626" t="s">
        <v>159</v>
      </c>
      <c r="K68" s="627" t="s">
        <v>159</v>
      </c>
      <c r="L68" s="618">
        <v>432.2709725028501</v>
      </c>
      <c r="M68" s="619">
        <v>418.08615531790008</v>
      </c>
      <c r="N68" s="619">
        <v>489.62944058850007</v>
      </c>
      <c r="O68" s="620">
        <v>352.84683293699999</v>
      </c>
      <c r="P68" s="618">
        <v>418.34257616799999</v>
      </c>
      <c r="Q68" s="377">
        <v>444.95163771874991</v>
      </c>
      <c r="R68" s="377">
        <v>381.44147663150005</v>
      </c>
      <c r="S68" s="377">
        <v>365.04144693749998</v>
      </c>
      <c r="T68" s="618">
        <v>403.06330127140012</v>
      </c>
      <c r="U68" s="377">
        <v>405.69614974915004</v>
      </c>
      <c r="V68" s="377">
        <v>386</v>
      </c>
      <c r="W68" s="377">
        <v>341.80393708169987</v>
      </c>
      <c r="X68" s="618">
        <v>240.80643361150001</v>
      </c>
      <c r="Y68" s="377">
        <v>293.24071859409997</v>
      </c>
      <c r="Z68" s="377">
        <v>329.79822373050001</v>
      </c>
      <c r="AA68" s="377">
        <v>226.75384044920003</v>
      </c>
      <c r="AB68" s="621">
        <v>319.49387618260005</v>
      </c>
      <c r="AC68" s="377">
        <v>354.84490509509999</v>
      </c>
      <c r="AD68" s="377">
        <v>219.66834858370012</v>
      </c>
      <c r="AE68" s="377">
        <v>182.85907850199999</v>
      </c>
      <c r="AF68" s="621">
        <v>255.1338062451</v>
      </c>
      <c r="AG68" s="377">
        <v>279.6540102989</v>
      </c>
      <c r="AH68" s="377">
        <v>274.54556536479993</v>
      </c>
      <c r="AI68" s="377">
        <v>293.8266956774001</v>
      </c>
      <c r="AJ68" s="621">
        <v>310.41286172870008</v>
      </c>
      <c r="AK68" s="377">
        <v>130.17407078749997</v>
      </c>
      <c r="AL68" s="377">
        <v>184.8133938859151</v>
      </c>
      <c r="AM68" s="377">
        <v>219.46876660479995</v>
      </c>
      <c r="AN68" s="621">
        <v>172.36191916489997</v>
      </c>
      <c r="AO68" s="377">
        <v>175.20816595271759</v>
      </c>
      <c r="AP68" s="377">
        <f>+AP62+AP58+AP54+AP44+AP39+AP32</f>
        <v>209.74521419459501</v>
      </c>
      <c r="AQ68" s="377">
        <v>230.4231287139749</v>
      </c>
      <c r="AR68" s="377">
        <v>195.3</v>
      </c>
      <c r="AS68" s="377">
        <v>207</v>
      </c>
    </row>
    <row r="69" spans="2:45" s="25" customFormat="1" ht="14.1" customHeight="1">
      <c r="B69" s="616"/>
      <c r="C69" s="25" t="s">
        <v>767</v>
      </c>
      <c r="D69" s="624"/>
      <c r="E69" s="624"/>
      <c r="F69" s="624"/>
      <c r="G69" s="624"/>
      <c r="H69" s="625"/>
      <c r="I69" s="626"/>
      <c r="J69" s="626"/>
      <c r="K69" s="627"/>
      <c r="L69" s="618">
        <v>486.90310687510203</v>
      </c>
      <c r="M69" s="619">
        <v>446.56544238062099</v>
      </c>
      <c r="N69" s="619">
        <v>463.6689215666334</v>
      </c>
      <c r="O69" s="620">
        <v>454.9537112218718</v>
      </c>
      <c r="P69" s="618">
        <v>495.25012739613419</v>
      </c>
      <c r="Q69" s="377">
        <v>503.64042292413484</v>
      </c>
      <c r="R69" s="377">
        <v>483.82384816373292</v>
      </c>
      <c r="S69" s="377">
        <v>473.83740593750002</v>
      </c>
      <c r="T69" s="618">
        <v>501.44263943749439</v>
      </c>
      <c r="U69" s="377">
        <v>460</v>
      </c>
      <c r="V69" s="377">
        <v>458</v>
      </c>
      <c r="W69" s="377">
        <v>429.53204645906339</v>
      </c>
      <c r="X69" s="618">
        <v>468.31152643462167</v>
      </c>
      <c r="Y69" s="377">
        <v>455.14527985123993</v>
      </c>
      <c r="Z69" s="377">
        <v>437.76101647775175</v>
      </c>
      <c r="AA69" s="377">
        <v>445.8807105345744</v>
      </c>
      <c r="AB69" s="621">
        <v>488.23487683380574</v>
      </c>
      <c r="AC69" s="377">
        <v>391.75320812154047</v>
      </c>
      <c r="AD69" s="377">
        <v>380.18914040685343</v>
      </c>
      <c r="AE69" s="377">
        <v>338.04081780012513</v>
      </c>
      <c r="AF69" s="621">
        <v>275.91023977288842</v>
      </c>
      <c r="AG69" s="377">
        <v>278.10361907153936</v>
      </c>
      <c r="AH69" s="377">
        <v>321.3448101330697</v>
      </c>
      <c r="AI69" s="377">
        <v>331.05650206944773</v>
      </c>
      <c r="AJ69" s="621">
        <v>304.77188488565452</v>
      </c>
      <c r="AK69" s="377">
        <v>169.28328064607896</v>
      </c>
      <c r="AL69" s="377">
        <v>168.5911465693946</v>
      </c>
      <c r="AM69" s="377">
        <v>193.99119927591465</v>
      </c>
      <c r="AN69" s="621">
        <v>244.91797408631953</v>
      </c>
      <c r="AO69" s="377">
        <v>217.98785362856194</v>
      </c>
      <c r="AP69" s="377">
        <f>+AP59+AP55+AP45+AP46+AP40+AP33</f>
        <v>206.35540960029414</v>
      </c>
      <c r="AQ69" s="377">
        <v>219.96186079599005</v>
      </c>
      <c r="AR69" s="377">
        <v>256.79000000000002</v>
      </c>
      <c r="AS69" s="377">
        <v>208</v>
      </c>
    </row>
    <row r="70" spans="2:45" s="25" customFormat="1" ht="14.1" customHeight="1">
      <c r="B70" s="616"/>
      <c r="C70" s="25" t="s">
        <v>766</v>
      </c>
      <c r="D70" s="624"/>
      <c r="E70" s="624"/>
      <c r="F70" s="624"/>
      <c r="G70" s="624"/>
      <c r="H70" s="625"/>
      <c r="I70" s="626"/>
      <c r="J70" s="626"/>
      <c r="K70" s="627"/>
      <c r="L70" s="625" t="s">
        <v>159</v>
      </c>
      <c r="M70" s="626" t="s">
        <v>159</v>
      </c>
      <c r="N70" s="626" t="s">
        <v>159</v>
      </c>
      <c r="O70" s="627" t="s">
        <v>159</v>
      </c>
      <c r="P70" s="618">
        <v>63.844622951543052</v>
      </c>
      <c r="Q70" s="377">
        <v>57.771951591748419</v>
      </c>
      <c r="R70" s="377">
        <v>41.011936495752835</v>
      </c>
      <c r="S70" s="377">
        <v>47.565582014950408</v>
      </c>
      <c r="T70" s="618">
        <v>48.471451077275781</v>
      </c>
      <c r="U70" s="377">
        <v>54.226770806767561</v>
      </c>
      <c r="V70" s="377">
        <v>52.334523597518299</v>
      </c>
      <c r="W70" s="377">
        <v>68.474009095272976</v>
      </c>
      <c r="X70" s="618">
        <v>33.85751005533708</v>
      </c>
      <c r="Y70" s="377">
        <v>20.265671351082034</v>
      </c>
      <c r="Z70" s="377">
        <v>25.775895989733549</v>
      </c>
      <c r="AA70" s="377">
        <v>35.03341664824967</v>
      </c>
      <c r="AB70" s="621">
        <v>40.160114793597131</v>
      </c>
      <c r="AC70" s="377">
        <v>68.951850181489419</v>
      </c>
      <c r="AD70" s="377">
        <v>29.4963100758632</v>
      </c>
      <c r="AE70" s="377">
        <v>29.219753233591106</v>
      </c>
      <c r="AF70" s="621">
        <v>134.32208951146507</v>
      </c>
      <c r="AG70" s="377">
        <v>123.41641543622744</v>
      </c>
      <c r="AH70" s="377">
        <v>127.55482268828932</v>
      </c>
      <c r="AI70" s="377">
        <v>117.45882159757042</v>
      </c>
      <c r="AJ70" s="621">
        <v>146.11154518907964</v>
      </c>
      <c r="AK70" s="377">
        <v>27.120959916075378</v>
      </c>
      <c r="AL70" s="377">
        <v>56.527764782095915</v>
      </c>
      <c r="AM70" s="377">
        <v>65.848458244652008</v>
      </c>
      <c r="AN70" s="621">
        <v>29.744398438336269</v>
      </c>
      <c r="AO70" s="377">
        <v>26.97818555840297</v>
      </c>
      <c r="AP70" s="377">
        <v>51</v>
      </c>
      <c r="AQ70" s="377">
        <v>64.575047210184266</v>
      </c>
      <c r="AR70" s="377">
        <v>55.34</v>
      </c>
      <c r="AS70" s="377">
        <v>59</v>
      </c>
    </row>
    <row r="71" spans="2:45" s="117" customFormat="1" ht="14.1" customHeight="1">
      <c r="B71" s="628"/>
      <c r="C71" s="643" t="s">
        <v>765</v>
      </c>
      <c r="D71" s="377">
        <v>217.55999999999997</v>
      </c>
      <c r="E71" s="377">
        <v>200.97</v>
      </c>
      <c r="F71" s="377">
        <v>188.59666666666666</v>
      </c>
      <c r="G71" s="377">
        <v>167.89666666666668</v>
      </c>
      <c r="H71" s="618">
        <v>239.98000000000002</v>
      </c>
      <c r="I71" s="619">
        <v>252.14266666666666</v>
      </c>
      <c r="J71" s="619">
        <v>182.36599999999999</v>
      </c>
      <c r="K71" s="620">
        <v>171.245</v>
      </c>
      <c r="L71" s="618">
        <v>287.5793333333333</v>
      </c>
      <c r="M71" s="619">
        <v>257.39666666666665</v>
      </c>
      <c r="N71" s="619">
        <v>208.31333333333336</v>
      </c>
      <c r="O71" s="620">
        <v>114.93</v>
      </c>
      <c r="P71" s="618">
        <v>99.87</v>
      </c>
      <c r="Q71" s="377">
        <v>98.293333333333337</v>
      </c>
      <c r="R71" s="377">
        <v>81.295000000000002</v>
      </c>
      <c r="S71" s="377">
        <v>85.064000000000007</v>
      </c>
      <c r="T71" s="618">
        <v>65.25333333333333</v>
      </c>
      <c r="U71" s="377">
        <v>67.312794533595621</v>
      </c>
      <c r="V71" s="377">
        <v>61.163618179144144</v>
      </c>
      <c r="W71" s="377">
        <v>47.820999999999998</v>
      </c>
      <c r="X71" s="618">
        <v>77.936528189896094</v>
      </c>
      <c r="Y71" s="377">
        <v>64.574793337898242</v>
      </c>
      <c r="Z71" s="377">
        <v>37.103806354878529</v>
      </c>
      <c r="AA71" s="377">
        <v>54.426666666666669</v>
      </c>
      <c r="AB71" s="621">
        <v>70.738352866683172</v>
      </c>
      <c r="AC71" s="377">
        <v>97.914516195433364</v>
      </c>
      <c r="AD71" s="377">
        <v>73.434908490410393</v>
      </c>
      <c r="AE71" s="377">
        <v>64.721158438623078</v>
      </c>
      <c r="AF71" s="621">
        <v>103.71</v>
      </c>
      <c r="AG71" s="377">
        <v>102.58866666666665</v>
      </c>
      <c r="AH71" s="377">
        <v>85.831666666666663</v>
      </c>
      <c r="AI71" s="377">
        <v>73.477666666666664</v>
      </c>
      <c r="AJ71" s="621">
        <v>65.945999999999998</v>
      </c>
      <c r="AK71" s="377">
        <v>43.073666666666668</v>
      </c>
      <c r="AL71" s="377">
        <v>41.650104565774967</v>
      </c>
      <c r="AM71" s="377">
        <v>37.201993602871319</v>
      </c>
      <c r="AN71" s="621">
        <v>70.825951254690906</v>
      </c>
      <c r="AO71" s="377">
        <v>62.795830416337736</v>
      </c>
      <c r="AP71" s="377">
        <v>58.46</v>
      </c>
      <c r="AQ71" s="377">
        <v>94.895440680286484</v>
      </c>
      <c r="AR71" s="377">
        <v>173.6</v>
      </c>
      <c r="AS71" s="377">
        <v>91.88</v>
      </c>
    </row>
    <row r="72" spans="2:45" ht="14.1" customHeight="1">
      <c r="C72" s="398"/>
      <c r="P72" s="373"/>
      <c r="Q72" s="372"/>
      <c r="R72" s="372"/>
      <c r="S72" s="372"/>
      <c r="T72" s="373"/>
      <c r="U72" s="372"/>
      <c r="V72" s="372"/>
      <c r="W72" s="372"/>
      <c r="X72" s="373"/>
      <c r="Y72" s="372"/>
      <c r="Z72" s="372"/>
      <c r="AA72" s="372"/>
      <c r="AB72" s="376"/>
      <c r="AC72" s="372"/>
      <c r="AD72" s="372"/>
      <c r="AE72" s="372"/>
      <c r="AF72" s="376"/>
      <c r="AG72" s="372"/>
      <c r="AH72" s="372"/>
      <c r="AI72" s="372"/>
      <c r="AJ72" s="376"/>
      <c r="AK72" s="372"/>
      <c r="AL72" s="372"/>
      <c r="AM72" s="372"/>
      <c r="AN72" s="376"/>
      <c r="AO72" s="372"/>
      <c r="AP72" s="372"/>
      <c r="AQ72" s="372"/>
      <c r="AR72" s="372"/>
      <c r="AS72" s="372"/>
    </row>
    <row r="73" spans="2:45" ht="14.1" customHeight="1">
      <c r="C73" s="107"/>
    </row>
    <row r="74" spans="2:45" ht="14.1" customHeight="1" thickBot="1">
      <c r="C74" s="83" t="s">
        <v>775</v>
      </c>
    </row>
    <row r="75" spans="2:45" ht="14.1" customHeight="1" thickTop="1"/>
    <row r="76" spans="2:45" s="417" customFormat="1" ht="14.1" customHeight="1">
      <c r="B76" s="491" t="s">
        <v>867</v>
      </c>
      <c r="C76" s="417" t="s">
        <v>776</v>
      </c>
      <c r="D76" s="418">
        <v>3.8879999999999999</v>
      </c>
      <c r="E76" s="418">
        <v>4.1770000000000005</v>
      </c>
      <c r="F76" s="418">
        <v>4.5299999999999994</v>
      </c>
      <c r="G76" s="418">
        <v>4.24</v>
      </c>
      <c r="H76" s="419">
        <v>3.3390000000000004</v>
      </c>
      <c r="I76" s="420">
        <v>4.5069999999999997</v>
      </c>
      <c r="J76" s="420">
        <v>3.6500000000000004</v>
      </c>
      <c r="K76" s="421">
        <v>3.4489999999999998</v>
      </c>
      <c r="L76" s="419">
        <v>3.1080000000000001</v>
      </c>
      <c r="M76" s="420">
        <v>2.96</v>
      </c>
      <c r="N76" s="420">
        <v>3.4499999999999997</v>
      </c>
      <c r="O76" s="421">
        <v>3.8</v>
      </c>
      <c r="P76" s="419">
        <v>2.84</v>
      </c>
      <c r="Q76" s="418">
        <v>3.2700000000000005</v>
      </c>
      <c r="R76" s="418">
        <v>3.06</v>
      </c>
      <c r="S76" s="418">
        <v>3.04</v>
      </c>
      <c r="T76" s="419">
        <v>2.6310000000000002</v>
      </c>
      <c r="U76" s="418">
        <v>4.0999999999999996</v>
      </c>
      <c r="V76" s="418">
        <v>3.3849999999999998</v>
      </c>
      <c r="W76" s="418">
        <v>3.6006999999999998</v>
      </c>
      <c r="X76" s="419">
        <v>3.3256999999999999</v>
      </c>
      <c r="Y76" s="418">
        <v>4.2557999999999998</v>
      </c>
      <c r="Z76" s="418">
        <v>4.1319999999999997</v>
      </c>
      <c r="AA76" s="418">
        <v>4.58</v>
      </c>
      <c r="AB76" s="422">
        <v>2.9729999999999999</v>
      </c>
      <c r="AC76" s="418">
        <v>2.956</v>
      </c>
      <c r="AD76" s="418">
        <v>3.01</v>
      </c>
      <c r="AE76" s="418">
        <v>2.7620000000000005</v>
      </c>
      <c r="AF76" s="422">
        <v>2.9735500000000004</v>
      </c>
      <c r="AG76" s="418">
        <v>3.10683</v>
      </c>
      <c r="AH76" s="418">
        <v>2.9041000000000001</v>
      </c>
      <c r="AI76" s="418">
        <v>2.3566000000000003</v>
      </c>
      <c r="AJ76" s="422">
        <v>2.2644000000000002</v>
      </c>
      <c r="AK76" s="418">
        <v>2.0098598616449324</v>
      </c>
      <c r="AL76" s="418">
        <v>2.5503</v>
      </c>
      <c r="AM76" s="418">
        <v>2.4530000000000003</v>
      </c>
      <c r="AN76" s="422">
        <v>2.2489288317565514</v>
      </c>
      <c r="AO76" s="418">
        <v>1.8159338798726585</v>
      </c>
      <c r="AP76" s="418">
        <v>2.086781881552334</v>
      </c>
      <c r="AQ76" s="418">
        <v>2.6</v>
      </c>
      <c r="AR76" s="418">
        <v>2.1153788960480941</v>
      </c>
      <c r="AS76" s="418">
        <v>2.3990246424511152</v>
      </c>
    </row>
    <row r="77" spans="2:45" s="417" customFormat="1" ht="14.1" customHeight="1">
      <c r="B77" s="416"/>
      <c r="C77" s="417" t="s">
        <v>777</v>
      </c>
      <c r="D77" s="418">
        <v>5.2173999999999996</v>
      </c>
      <c r="E77" s="418">
        <v>5.2502499999999994</v>
      </c>
      <c r="F77" s="418">
        <v>6.1599999999999993</v>
      </c>
      <c r="G77" s="418">
        <v>4.59</v>
      </c>
      <c r="H77" s="419">
        <v>3.7910399999999997</v>
      </c>
      <c r="I77" s="420">
        <v>5.1523399999999997</v>
      </c>
      <c r="J77" s="420">
        <v>4.5462199999999999</v>
      </c>
      <c r="K77" s="421">
        <v>4.4641000000000002</v>
      </c>
      <c r="L77" s="419">
        <v>4.1929999999999996</v>
      </c>
      <c r="M77" s="420">
        <v>3.89</v>
      </c>
      <c r="N77" s="420">
        <v>4.12</v>
      </c>
      <c r="O77" s="421">
        <v>4.4799999999999995</v>
      </c>
      <c r="P77" s="419">
        <v>4.0999999999999996</v>
      </c>
      <c r="Q77" s="418">
        <v>3.73</v>
      </c>
      <c r="R77" s="418">
        <v>4.08</v>
      </c>
      <c r="S77" s="418">
        <v>3.79</v>
      </c>
      <c r="T77" s="419">
        <v>3.0110000000000001</v>
      </c>
      <c r="U77" s="418">
        <v>4.3940000000000001</v>
      </c>
      <c r="V77" s="418">
        <v>4.1379999999999999</v>
      </c>
      <c r="W77" s="418">
        <v>4.1834000000000007</v>
      </c>
      <c r="X77" s="419">
        <v>4.0776000000000003</v>
      </c>
      <c r="Y77" s="418">
        <v>4.9497</v>
      </c>
      <c r="Z77" s="418">
        <v>4.7769999999999992</v>
      </c>
      <c r="AA77" s="418">
        <v>5.6779999999999999</v>
      </c>
      <c r="AB77" s="422">
        <v>4.1139999999999999</v>
      </c>
      <c r="AC77" s="418">
        <v>4.9790000000000001</v>
      </c>
      <c r="AD77" s="418">
        <v>4.4560000000000004</v>
      </c>
      <c r="AE77" s="418">
        <v>3.9489999999999998</v>
      </c>
      <c r="AF77" s="422">
        <v>2.4554499999999999</v>
      </c>
      <c r="AG77" s="418">
        <v>2.0228999999999999</v>
      </c>
      <c r="AH77" s="418">
        <v>2.1425999999999998</v>
      </c>
      <c r="AI77" s="418">
        <v>1.5194000000000001</v>
      </c>
      <c r="AJ77" s="422">
        <v>1.4191</v>
      </c>
      <c r="AK77" s="418">
        <v>1.388726013557932</v>
      </c>
      <c r="AL77" s="418">
        <v>1.9851000000000001</v>
      </c>
      <c r="AM77" s="418">
        <v>1.649</v>
      </c>
      <c r="AN77" s="422">
        <v>1.8077049173957764</v>
      </c>
      <c r="AO77" s="418">
        <v>1.0540766056672679</v>
      </c>
      <c r="AP77" s="418">
        <v>1.3616938118835762</v>
      </c>
      <c r="AQ77" s="418">
        <v>1.5</v>
      </c>
      <c r="AR77" s="418">
        <v>1.4953538702420845</v>
      </c>
      <c r="AS77" s="418">
        <v>1.3371759729216393</v>
      </c>
    </row>
    <row r="78" spans="2:45" s="324" customFormat="1" ht="14.1" customHeight="1">
      <c r="B78" s="403"/>
      <c r="C78" s="324" t="s">
        <v>781</v>
      </c>
      <c r="D78" s="404"/>
      <c r="E78" s="404"/>
      <c r="F78" s="404"/>
      <c r="G78" s="404"/>
      <c r="H78" s="405"/>
      <c r="I78" s="406"/>
      <c r="J78" s="406"/>
      <c r="K78" s="407"/>
      <c r="L78" s="405" t="s">
        <v>159</v>
      </c>
      <c r="M78" s="406" t="s">
        <v>159</v>
      </c>
      <c r="N78" s="406" t="s">
        <v>159</v>
      </c>
      <c r="O78" s="407" t="s">
        <v>159</v>
      </c>
      <c r="P78" s="405" t="s">
        <v>159</v>
      </c>
      <c r="Q78" s="404" t="s">
        <v>159</v>
      </c>
      <c r="R78" s="404" t="s">
        <v>159</v>
      </c>
      <c r="S78" s="404" t="s">
        <v>159</v>
      </c>
      <c r="T78" s="405" t="s">
        <v>159</v>
      </c>
      <c r="U78" s="404" t="s">
        <v>159</v>
      </c>
      <c r="V78" s="404" t="s">
        <v>159</v>
      </c>
      <c r="W78" s="404" t="s">
        <v>159</v>
      </c>
      <c r="X78" s="405" t="s">
        <v>159</v>
      </c>
      <c r="Y78" s="404" t="s">
        <v>159</v>
      </c>
      <c r="Z78" s="404" t="s">
        <v>159</v>
      </c>
      <c r="AA78" s="404" t="s">
        <v>159</v>
      </c>
      <c r="AB78" s="408" t="s">
        <v>159</v>
      </c>
      <c r="AC78" s="404" t="s">
        <v>159</v>
      </c>
      <c r="AD78" s="404" t="s">
        <v>159</v>
      </c>
      <c r="AE78" s="404" t="s">
        <v>159</v>
      </c>
      <c r="AF78" s="408" t="s">
        <v>159</v>
      </c>
      <c r="AG78" s="404" t="s">
        <v>159</v>
      </c>
      <c r="AH78" s="404" t="s">
        <v>159</v>
      </c>
      <c r="AI78" s="404">
        <v>8.9899999999999994E-2</v>
      </c>
      <c r="AJ78" s="408">
        <v>8.9899999999999994E-2</v>
      </c>
      <c r="AK78" s="404">
        <v>8.9200000000000002E-2</v>
      </c>
      <c r="AL78" s="404">
        <v>9.06E-2</v>
      </c>
      <c r="AM78" s="404">
        <v>9.1120000000000007E-2</v>
      </c>
      <c r="AN78" s="408">
        <v>9.1018535316419499E-2</v>
      </c>
      <c r="AO78" s="404">
        <v>9.4066131614367013E-2</v>
      </c>
      <c r="AP78" s="404">
        <v>9.8884632940006933E-2</v>
      </c>
      <c r="AQ78" s="404">
        <v>9.694702214534498E-2</v>
      </c>
      <c r="AR78" s="404">
        <v>9.4100000000000003E-2</v>
      </c>
      <c r="AS78" s="404">
        <v>9.5799999999999996E-2</v>
      </c>
    </row>
    <row r="80" spans="2:45" s="414" customFormat="1" ht="14.1" customHeight="1">
      <c r="B80" s="415"/>
      <c r="C80" s="414" t="s">
        <v>778</v>
      </c>
      <c r="D80" s="409" t="s">
        <v>159</v>
      </c>
      <c r="E80" s="409" t="s">
        <v>159</v>
      </c>
      <c r="F80" s="409" t="s">
        <v>159</v>
      </c>
      <c r="G80" s="409" t="s">
        <v>159</v>
      </c>
      <c r="H80" s="410" t="s">
        <v>159</v>
      </c>
      <c r="I80" s="411" t="s">
        <v>159</v>
      </c>
      <c r="J80" s="411" t="s">
        <v>159</v>
      </c>
      <c r="K80" s="412" t="s">
        <v>159</v>
      </c>
      <c r="L80" s="410" t="s">
        <v>159</v>
      </c>
      <c r="M80" s="411" t="s">
        <v>159</v>
      </c>
      <c r="N80" s="411" t="s">
        <v>159</v>
      </c>
      <c r="O80" s="412" t="s">
        <v>159</v>
      </c>
      <c r="P80" s="410" t="s">
        <v>159</v>
      </c>
      <c r="Q80" s="409" t="s">
        <v>159</v>
      </c>
      <c r="R80" s="409" t="s">
        <v>159</v>
      </c>
      <c r="S80" s="409" t="s">
        <v>159</v>
      </c>
      <c r="T80" s="410" t="s">
        <v>159</v>
      </c>
      <c r="U80" s="409" t="s">
        <v>159</v>
      </c>
      <c r="V80" s="409" t="s">
        <v>159</v>
      </c>
      <c r="W80" s="409" t="s">
        <v>159</v>
      </c>
      <c r="X80" s="410" t="s">
        <v>159</v>
      </c>
      <c r="Y80" s="409" t="s">
        <v>159</v>
      </c>
      <c r="Z80" s="409" t="s">
        <v>159</v>
      </c>
      <c r="AA80" s="409" t="s">
        <v>159</v>
      </c>
      <c r="AB80" s="413" t="s">
        <v>159</v>
      </c>
      <c r="AC80" s="409" t="s">
        <v>159</v>
      </c>
      <c r="AD80" s="409" t="s">
        <v>159</v>
      </c>
      <c r="AE80" s="409" t="s">
        <v>159</v>
      </c>
      <c r="AF80" s="413" t="s">
        <v>159</v>
      </c>
      <c r="AG80" s="409" t="s">
        <v>159</v>
      </c>
      <c r="AH80" s="409" t="s">
        <v>159</v>
      </c>
      <c r="AI80" s="409" t="s">
        <v>159</v>
      </c>
      <c r="AJ80" s="413">
        <v>15.980999999999998</v>
      </c>
      <c r="AK80" s="409">
        <v>13.298960606425251</v>
      </c>
      <c r="AL80" s="409">
        <v>14.684000000000001</v>
      </c>
      <c r="AM80" s="409">
        <v>12.870000000000001</v>
      </c>
      <c r="AN80" s="413">
        <v>10.041270999872264</v>
      </c>
      <c r="AO80" s="409">
        <v>11.190841623783447</v>
      </c>
      <c r="AP80" s="409">
        <v>10.837480728647972</v>
      </c>
      <c r="AQ80" s="409">
        <v>11.432374853907705</v>
      </c>
      <c r="AR80" s="409">
        <v>9.77</v>
      </c>
      <c r="AS80" s="409">
        <v>9.8621439012633125</v>
      </c>
    </row>
    <row r="81" spans="2:46" s="414" customFormat="1" ht="14.1" customHeight="1">
      <c r="B81" s="415"/>
      <c r="C81" s="414" t="s">
        <v>779</v>
      </c>
      <c r="D81" s="409" t="s">
        <v>159</v>
      </c>
      <c r="E81" s="409" t="s">
        <v>159</v>
      </c>
      <c r="F81" s="409" t="s">
        <v>159</v>
      </c>
      <c r="G81" s="409" t="s">
        <v>159</v>
      </c>
      <c r="H81" s="410" t="s">
        <v>159</v>
      </c>
      <c r="I81" s="411" t="s">
        <v>159</v>
      </c>
      <c r="J81" s="411" t="s">
        <v>159</v>
      </c>
      <c r="K81" s="412" t="s">
        <v>159</v>
      </c>
      <c r="L81" s="410" t="s">
        <v>159</v>
      </c>
      <c r="M81" s="411" t="s">
        <v>159</v>
      </c>
      <c r="N81" s="411" t="s">
        <v>159</v>
      </c>
      <c r="O81" s="412" t="s">
        <v>159</v>
      </c>
      <c r="P81" s="410" t="s">
        <v>159</v>
      </c>
      <c r="Q81" s="409" t="s">
        <v>159</v>
      </c>
      <c r="R81" s="409" t="s">
        <v>159</v>
      </c>
      <c r="S81" s="409" t="s">
        <v>159</v>
      </c>
      <c r="T81" s="410" t="s">
        <v>159</v>
      </c>
      <c r="U81" s="409" t="s">
        <v>159</v>
      </c>
      <c r="V81" s="409" t="s">
        <v>159</v>
      </c>
      <c r="W81" s="409" t="s">
        <v>159</v>
      </c>
      <c r="X81" s="410" t="s">
        <v>159</v>
      </c>
      <c r="Y81" s="409" t="s">
        <v>159</v>
      </c>
      <c r="Z81" s="409" t="s">
        <v>159</v>
      </c>
      <c r="AA81" s="409" t="s">
        <v>159</v>
      </c>
      <c r="AB81" s="413" t="s">
        <v>159</v>
      </c>
      <c r="AC81" s="409" t="s">
        <v>159</v>
      </c>
      <c r="AD81" s="409" t="s">
        <v>159</v>
      </c>
      <c r="AE81" s="409" t="s">
        <v>159</v>
      </c>
      <c r="AF81" s="413" t="s">
        <v>159</v>
      </c>
      <c r="AG81" s="409" t="s">
        <v>159</v>
      </c>
      <c r="AH81" s="409" t="s">
        <v>159</v>
      </c>
      <c r="AI81" s="409" t="s">
        <v>159</v>
      </c>
      <c r="AJ81" s="413">
        <v>8.1739999999999995</v>
      </c>
      <c r="AK81" s="409">
        <v>8.2855169069709493</v>
      </c>
      <c r="AL81" s="409">
        <v>8.4160000000000004</v>
      </c>
      <c r="AM81" s="409">
        <v>9.33</v>
      </c>
      <c r="AN81" s="413">
        <v>7.6252055238041647</v>
      </c>
      <c r="AO81" s="409">
        <v>7.0005586359194201</v>
      </c>
      <c r="AP81" s="409">
        <v>5.6167985618331002</v>
      </c>
      <c r="AQ81" s="409">
        <v>6.4596562941632882</v>
      </c>
      <c r="AR81" s="409">
        <v>5.1100000000000003</v>
      </c>
      <c r="AS81" s="409">
        <v>5.2159354740014479</v>
      </c>
    </row>
    <row r="82" spans="2:46" s="324" customFormat="1" ht="14.1" customHeight="1">
      <c r="B82" s="403"/>
      <c r="C82" s="324" t="s">
        <v>780</v>
      </c>
      <c r="D82" s="404" t="s">
        <v>159</v>
      </c>
      <c r="E82" s="404" t="s">
        <v>159</v>
      </c>
      <c r="F82" s="404" t="s">
        <v>159</v>
      </c>
      <c r="G82" s="404" t="s">
        <v>159</v>
      </c>
      <c r="H82" s="405" t="s">
        <v>159</v>
      </c>
      <c r="I82" s="406" t="s">
        <v>159</v>
      </c>
      <c r="J82" s="406" t="s">
        <v>159</v>
      </c>
      <c r="K82" s="407" t="s">
        <v>159</v>
      </c>
      <c r="L82" s="405" t="s">
        <v>159</v>
      </c>
      <c r="M82" s="406" t="s">
        <v>159</v>
      </c>
      <c r="N82" s="406" t="s">
        <v>159</v>
      </c>
      <c r="O82" s="407" t="s">
        <v>159</v>
      </c>
      <c r="P82" s="405" t="s">
        <v>159</v>
      </c>
      <c r="Q82" s="404" t="s">
        <v>159</v>
      </c>
      <c r="R82" s="404" t="s">
        <v>159</v>
      </c>
      <c r="S82" s="404" t="s">
        <v>159</v>
      </c>
      <c r="T82" s="405" t="s">
        <v>159</v>
      </c>
      <c r="U82" s="404" t="s">
        <v>159</v>
      </c>
      <c r="V82" s="404" t="s">
        <v>159</v>
      </c>
      <c r="W82" s="404" t="s">
        <v>159</v>
      </c>
      <c r="X82" s="405" t="s">
        <v>159</v>
      </c>
      <c r="Y82" s="404" t="s">
        <v>159</v>
      </c>
      <c r="Z82" s="404" t="s">
        <v>159</v>
      </c>
      <c r="AA82" s="404" t="s">
        <v>159</v>
      </c>
      <c r="AB82" s="408" t="s">
        <v>159</v>
      </c>
      <c r="AC82" s="404" t="s">
        <v>159</v>
      </c>
      <c r="AD82" s="404" t="s">
        <v>159</v>
      </c>
      <c r="AE82" s="404" t="s">
        <v>159</v>
      </c>
      <c r="AF82" s="408" t="s">
        <v>159</v>
      </c>
      <c r="AG82" s="404" t="s">
        <v>159</v>
      </c>
      <c r="AH82" s="404" t="s">
        <v>159</v>
      </c>
      <c r="AI82" s="404">
        <v>0.14369999999999999</v>
      </c>
      <c r="AJ82" s="408">
        <v>0.14480999999999999</v>
      </c>
      <c r="AK82" s="404">
        <v>0.14271</v>
      </c>
      <c r="AL82" s="404">
        <v>0.14316000000000001</v>
      </c>
      <c r="AM82" s="404">
        <v>0.14202999999999999</v>
      </c>
      <c r="AN82" s="408">
        <v>0.13900999999999999</v>
      </c>
      <c r="AO82" s="404">
        <v>0.14021956996229928</v>
      </c>
      <c r="AP82" s="404">
        <v>0.13760588154443676</v>
      </c>
      <c r="AQ82" s="404">
        <v>0.13437223376676707</v>
      </c>
      <c r="AR82" s="404">
        <v>0.13239999999999999</v>
      </c>
      <c r="AS82" s="404">
        <v>0.12609999999999999</v>
      </c>
    </row>
    <row r="85" spans="2:46" ht="14.1" customHeight="1" thickBot="1">
      <c r="C85" s="83" t="s">
        <v>304</v>
      </c>
    </row>
    <row r="86" spans="2:46" ht="14.1" customHeight="1" thickTop="1"/>
    <row r="87" spans="2:46" ht="14.1" customHeight="1">
      <c r="C87" s="92" t="s">
        <v>537</v>
      </c>
      <c r="D87" s="372">
        <v>391.24593783115046</v>
      </c>
      <c r="E87" s="372">
        <v>406.18560800951951</v>
      </c>
      <c r="F87" s="372">
        <v>428.04574815014325</v>
      </c>
      <c r="G87" s="372">
        <v>421.45685413463667</v>
      </c>
      <c r="H87" s="373">
        <v>444.53258848276073</v>
      </c>
      <c r="I87" s="374">
        <v>442.15409568354346</v>
      </c>
      <c r="J87" s="374">
        <v>469.28811265567577</v>
      </c>
      <c r="K87" s="375">
        <v>463.40107753632299</v>
      </c>
      <c r="L87" s="373">
        <v>461.3943930485255</v>
      </c>
      <c r="M87" s="374">
        <v>479.33418448271146</v>
      </c>
      <c r="N87" s="374">
        <v>508.11717237879139</v>
      </c>
      <c r="O87" s="375">
        <v>481.23713642442993</v>
      </c>
      <c r="P87" s="373">
        <v>501.3295078512981</v>
      </c>
      <c r="Q87" s="372">
        <v>511.12473031367932</v>
      </c>
      <c r="R87" s="372">
        <v>547.26244419224167</v>
      </c>
      <c r="S87" s="372">
        <v>537.44991523309432</v>
      </c>
      <c r="T87" s="373">
        <v>543.07783048014551</v>
      </c>
      <c r="U87" s="372">
        <v>508.27295348422342</v>
      </c>
      <c r="V87" s="372">
        <v>534</v>
      </c>
      <c r="W87" s="372">
        <v>505.84790688632449</v>
      </c>
      <c r="X87" s="373">
        <v>514.4967509939961</v>
      </c>
      <c r="Y87" s="372">
        <v>518.79768570258466</v>
      </c>
      <c r="Z87" s="372">
        <v>561.90466547544452</v>
      </c>
      <c r="AA87" s="372">
        <v>541.9487538814044</v>
      </c>
      <c r="AB87" s="376">
        <v>541.22422051218643</v>
      </c>
      <c r="AC87" s="377">
        <v>567.60278650485418</v>
      </c>
      <c r="AD87" s="377">
        <v>594.71563996308907</v>
      </c>
      <c r="AE87" s="372">
        <v>589.77721583843561</v>
      </c>
      <c r="AF87" s="376">
        <v>588.06129175213971</v>
      </c>
      <c r="AG87" s="372">
        <v>590.61183140822186</v>
      </c>
      <c r="AH87" s="372">
        <v>627.8804949771461</v>
      </c>
      <c r="AI87" s="372">
        <v>612.51025865138581</v>
      </c>
      <c r="AJ87" s="376">
        <v>589.66555760727726</v>
      </c>
      <c r="AK87" s="372">
        <v>534.50125730685727</v>
      </c>
      <c r="AL87" s="372">
        <v>564.67474522036412</v>
      </c>
      <c r="AM87" s="372">
        <v>607.86704728013319</v>
      </c>
      <c r="AN87" s="376">
        <v>625.94856037604654</v>
      </c>
      <c r="AO87" s="372">
        <v>598.52852372242955</v>
      </c>
      <c r="AP87" s="372">
        <v>641.71862738066079</v>
      </c>
      <c r="AQ87" s="372">
        <v>665.96510070408283</v>
      </c>
      <c r="AR87" s="372">
        <v>657</v>
      </c>
      <c r="AS87" s="372">
        <v>671</v>
      </c>
    </row>
    <row r="88" spans="2:46" ht="14.1" customHeight="1">
      <c r="C88" s="92" t="s">
        <v>666</v>
      </c>
      <c r="D88" s="372" t="s">
        <v>159</v>
      </c>
      <c r="E88" s="372" t="s">
        <v>159</v>
      </c>
      <c r="F88" s="372" t="s">
        <v>159</v>
      </c>
      <c r="G88" s="372" t="s">
        <v>159</v>
      </c>
      <c r="H88" s="373" t="s">
        <v>159</v>
      </c>
      <c r="I88" s="374" t="s">
        <v>159</v>
      </c>
      <c r="J88" s="374" t="s">
        <v>159</v>
      </c>
      <c r="K88" s="375" t="s">
        <v>159</v>
      </c>
      <c r="L88" s="373" t="s">
        <v>159</v>
      </c>
      <c r="M88" s="374" t="s">
        <v>159</v>
      </c>
      <c r="N88" s="374" t="s">
        <v>159</v>
      </c>
      <c r="O88" s="375" t="s">
        <v>159</v>
      </c>
      <c r="P88" s="373" t="s">
        <v>159</v>
      </c>
      <c r="Q88" s="372" t="s">
        <v>159</v>
      </c>
      <c r="R88" s="372" t="s">
        <v>159</v>
      </c>
      <c r="S88" s="372" t="s">
        <v>159</v>
      </c>
      <c r="T88" s="373" t="s">
        <v>159</v>
      </c>
      <c r="U88" s="372" t="s">
        <v>159</v>
      </c>
      <c r="V88" s="372" t="s">
        <v>159</v>
      </c>
      <c r="W88" s="372" t="s">
        <v>159</v>
      </c>
      <c r="X88" s="373" t="s">
        <v>159</v>
      </c>
      <c r="Y88" s="372" t="s">
        <v>159</v>
      </c>
      <c r="Z88" s="372" t="s">
        <v>159</v>
      </c>
      <c r="AA88" s="372" t="s">
        <v>159</v>
      </c>
      <c r="AB88" s="376" t="s">
        <v>159</v>
      </c>
      <c r="AC88" s="377" t="s">
        <v>159</v>
      </c>
      <c r="AD88" s="377" t="s">
        <v>159</v>
      </c>
      <c r="AE88" s="372" t="s">
        <v>159</v>
      </c>
      <c r="AF88" s="376" t="s">
        <v>159</v>
      </c>
      <c r="AG88" s="372" t="s">
        <v>159</v>
      </c>
      <c r="AH88" s="372">
        <v>279.64360396910013</v>
      </c>
      <c r="AI88" s="372">
        <v>265.79398557669913</v>
      </c>
      <c r="AJ88" s="376">
        <v>280.36238585559579</v>
      </c>
      <c r="AK88" s="372">
        <v>243.20663318405664</v>
      </c>
      <c r="AL88" s="372">
        <v>259.20453932440012</v>
      </c>
      <c r="AM88" s="372">
        <v>277.8546555809998</v>
      </c>
      <c r="AN88" s="376">
        <v>271.16280318900129</v>
      </c>
      <c r="AO88" s="372">
        <v>267.4678385354992</v>
      </c>
      <c r="AP88" s="372">
        <v>282.28323243050033</v>
      </c>
      <c r="AQ88" s="372">
        <v>282.81503514840114</v>
      </c>
      <c r="AR88" s="372">
        <v>272.39999999999998</v>
      </c>
      <c r="AS88" s="372">
        <v>268</v>
      </c>
    </row>
    <row r="90" spans="2:46" ht="14.1" customHeight="1" thickBot="1">
      <c r="C90" s="83" t="s">
        <v>616</v>
      </c>
    </row>
    <row r="91" spans="2:46" ht="14.1" customHeight="1" thickTop="1"/>
    <row r="92" spans="2:46" ht="14.1" customHeight="1">
      <c r="C92" s="92" t="s">
        <v>454</v>
      </c>
      <c r="X92" s="254">
        <v>489.45069391999994</v>
      </c>
      <c r="Y92" s="254">
        <v>466.61178947999997</v>
      </c>
      <c r="Z92" s="254">
        <v>487.02645371000006</v>
      </c>
      <c r="AA92" s="254">
        <v>487.01772276999998</v>
      </c>
      <c r="AB92" s="271">
        <v>568.54779656000005</v>
      </c>
      <c r="AC92" s="254">
        <v>551.02377755999998</v>
      </c>
      <c r="AD92" s="254">
        <v>583.74716631000001</v>
      </c>
      <c r="AE92" s="254">
        <v>581.72654585000009</v>
      </c>
      <c r="AF92" s="271">
        <v>629.33710707</v>
      </c>
      <c r="AG92" s="254">
        <v>615.68540381999992</v>
      </c>
      <c r="AH92" s="254">
        <v>729.45248420909002</v>
      </c>
      <c r="AI92" s="254">
        <v>680.27074573973346</v>
      </c>
      <c r="AJ92" s="271">
        <v>667.7</v>
      </c>
      <c r="AK92" s="254">
        <v>526.23332306999987</v>
      </c>
      <c r="AL92" s="254">
        <v>566.32474336999996</v>
      </c>
      <c r="AM92" s="254">
        <v>626.19367813999997</v>
      </c>
      <c r="AN92" s="271">
        <v>523.61872191000009</v>
      </c>
      <c r="AO92" s="254">
        <v>487.31938286000002</v>
      </c>
      <c r="AP92" s="254">
        <v>533.42698795999991</v>
      </c>
      <c r="AQ92" s="254">
        <v>558.85970285999997</v>
      </c>
      <c r="AR92" s="254">
        <v>541.29999999999995</v>
      </c>
      <c r="AS92" s="254">
        <v>522.12</v>
      </c>
    </row>
    <row r="94" spans="2:46" ht="14.1" customHeight="1">
      <c r="C94" s="252" t="s">
        <v>715</v>
      </c>
    </row>
    <row r="95" spans="2:46" s="255" customFormat="1" ht="14.1" customHeight="1">
      <c r="B95" s="400"/>
      <c r="C95" s="255" t="s">
        <v>470</v>
      </c>
      <c r="D95" s="378"/>
      <c r="E95" s="378"/>
      <c r="F95" s="378"/>
      <c r="G95" s="378"/>
      <c r="H95" s="379"/>
      <c r="I95" s="380"/>
      <c r="J95" s="380"/>
      <c r="K95" s="381"/>
      <c r="L95" s="379"/>
      <c r="M95" s="380"/>
      <c r="N95" s="380"/>
      <c r="O95" s="381"/>
      <c r="P95" s="379"/>
      <c r="Q95" s="378"/>
      <c r="R95" s="378"/>
      <c r="S95" s="378"/>
      <c r="T95" s="379"/>
      <c r="U95" s="378"/>
      <c r="V95" s="378"/>
      <c r="W95" s="378"/>
      <c r="X95" s="379"/>
      <c r="Y95" s="378"/>
      <c r="Z95" s="378"/>
      <c r="AA95" s="378"/>
      <c r="AB95" s="382">
        <f>+'Anexos Fros'!K27</f>
        <v>33858.921761999998</v>
      </c>
      <c r="AC95" s="378">
        <f>+'Anexos Fros'!L27</f>
        <v>31587.971458</v>
      </c>
      <c r="AD95" s="378">
        <f>+'Anexos Fros'!M27</f>
        <v>27997.979770000002</v>
      </c>
      <c r="AE95" s="378">
        <f>+'Anexos Fros'!N27</f>
        <v>49424.188443999999</v>
      </c>
      <c r="AF95" s="382">
        <f>+'Anexos Fros'!O27</f>
        <v>41319.303080999998</v>
      </c>
      <c r="AG95" s="378">
        <f>+'Anexos Fros'!P27</f>
        <v>31965.067611999999</v>
      </c>
      <c r="AH95" s="378">
        <f>+'Anexos Fros'!Q27</f>
        <v>18023.648032000001</v>
      </c>
      <c r="AI95" s="378">
        <f>+'Anexos Fros'!R27</f>
        <v>77231.878970999998</v>
      </c>
      <c r="AJ95" s="382">
        <f>+'Anexos Fros'!S27</f>
        <v>27335.047308000001</v>
      </c>
      <c r="AK95" s="378">
        <f>+'Anexos Fros'!T27</f>
        <v>59731.937797999999</v>
      </c>
      <c r="AL95" s="378">
        <f>+'Anexos Fros'!U27</f>
        <v>23388.018484</v>
      </c>
      <c r="AM95" s="378">
        <f>+'Anexos Fros'!V27</f>
        <v>44742.246120999996</v>
      </c>
      <c r="AN95" s="382">
        <f>+'Anexos Fros'!W27</f>
        <v>80563.305747999999</v>
      </c>
      <c r="AO95" s="378">
        <f>+'Anexos Fros'!X27</f>
        <v>101481.610027</v>
      </c>
      <c r="AP95" s="378">
        <f>+'Anexos Fros'!Y27</f>
        <v>68748.903338000004</v>
      </c>
      <c r="AQ95" s="378">
        <f>+'Anexos Fros'!Z27</f>
        <v>116801.87565299997</v>
      </c>
      <c r="AR95" s="378">
        <f>+'Anexos Fros'!AA27</f>
        <v>103698.149</v>
      </c>
      <c r="AS95" s="378">
        <f>+'Anexos Fros'!AB27</f>
        <v>115832.29</v>
      </c>
    </row>
    <row r="96" spans="2:46" s="253" customFormat="1" ht="14.1" customHeight="1">
      <c r="B96" s="401"/>
      <c r="C96" s="253" t="s">
        <v>471</v>
      </c>
      <c r="D96" s="383"/>
      <c r="E96" s="383"/>
      <c r="F96" s="383"/>
      <c r="G96" s="383"/>
      <c r="H96" s="384"/>
      <c r="I96" s="385"/>
      <c r="J96" s="385"/>
      <c r="K96" s="386"/>
      <c r="L96" s="384"/>
      <c r="M96" s="385"/>
      <c r="N96" s="385"/>
      <c r="O96" s="386"/>
      <c r="P96" s="384"/>
      <c r="Q96" s="383"/>
      <c r="R96" s="383"/>
      <c r="S96" s="383"/>
      <c r="T96" s="384"/>
      <c r="U96" s="383"/>
      <c r="V96" s="383"/>
      <c r="W96" s="383"/>
      <c r="X96" s="384"/>
      <c r="Y96" s="383"/>
      <c r="Z96" s="383"/>
      <c r="AA96" s="383"/>
      <c r="AB96" s="387">
        <f>726-AB92</f>
        <v>157.45220343999995</v>
      </c>
      <c r="AC96" s="383">
        <f>716-AC92</f>
        <v>164.97622244000002</v>
      </c>
      <c r="AD96" s="383">
        <f>686-AD92</f>
        <v>102.25283368999999</v>
      </c>
      <c r="AE96" s="383">
        <f>790-AE92</f>
        <v>208.27345414999991</v>
      </c>
      <c r="AF96" s="387">
        <f>775-AF92</f>
        <v>145.66289293</v>
      </c>
      <c r="AG96" s="383">
        <f>794-AG92</f>
        <v>178.31459618000008</v>
      </c>
      <c r="AH96" s="383">
        <f t="shared" ref="AH96:AP96" si="4">+AH16-AH92</f>
        <v>76.214600519999976</v>
      </c>
      <c r="AI96" s="383">
        <f t="shared" si="4"/>
        <v>214.69513927999992</v>
      </c>
      <c r="AJ96" s="387">
        <f t="shared" si="4"/>
        <v>135.33589978999998</v>
      </c>
      <c r="AK96" s="383">
        <f t="shared" si="4"/>
        <v>215.46336610000003</v>
      </c>
      <c r="AL96" s="383">
        <f t="shared" si="4"/>
        <v>113.58381808000013</v>
      </c>
      <c r="AM96" s="383">
        <f t="shared" si="4"/>
        <v>210.92914165000002</v>
      </c>
      <c r="AN96" s="387">
        <f t="shared" si="4"/>
        <v>255.26043777579878</v>
      </c>
      <c r="AO96" s="383">
        <f t="shared" si="4"/>
        <v>424.24706405000018</v>
      </c>
      <c r="AP96" s="383">
        <f t="shared" si="4"/>
        <v>288.57597023000017</v>
      </c>
      <c r="AQ96" s="383">
        <f>+AQ16-AQ92</f>
        <v>459.71887543000003</v>
      </c>
      <c r="AR96" s="383">
        <f>+AR16-AR92</f>
        <v>379.70000000000005</v>
      </c>
      <c r="AS96" s="383">
        <f>+AS16-AS92</f>
        <v>474.88</v>
      </c>
      <c r="AT96" s="383"/>
    </row>
    <row r="97" spans="2:45" s="256" customFormat="1" ht="14.1" customHeight="1">
      <c r="B97" s="402"/>
      <c r="D97" s="388"/>
      <c r="E97" s="388"/>
      <c r="F97" s="388"/>
      <c r="G97" s="388"/>
      <c r="H97" s="389"/>
      <c r="I97" s="390"/>
      <c r="J97" s="390"/>
      <c r="K97" s="391"/>
      <c r="L97" s="389"/>
      <c r="M97" s="390"/>
      <c r="N97" s="390"/>
      <c r="O97" s="391"/>
      <c r="P97" s="389"/>
      <c r="Q97" s="388"/>
      <c r="R97" s="388"/>
      <c r="S97" s="388"/>
      <c r="T97" s="389"/>
      <c r="U97" s="388"/>
      <c r="V97" s="388"/>
      <c r="W97" s="388"/>
      <c r="X97" s="389"/>
      <c r="Y97" s="388"/>
      <c r="Z97" s="388"/>
      <c r="AA97" s="388"/>
      <c r="AB97" s="392"/>
      <c r="AC97" s="388"/>
      <c r="AD97" s="388"/>
      <c r="AE97" s="388"/>
      <c r="AF97" s="392"/>
      <c r="AG97" s="388"/>
      <c r="AH97" s="388"/>
      <c r="AI97" s="388"/>
      <c r="AJ97" s="392"/>
      <c r="AK97" s="388"/>
      <c r="AL97" s="388"/>
      <c r="AM97" s="388"/>
      <c r="AN97" s="392"/>
      <c r="AO97" s="388"/>
      <c r="AP97" s="388"/>
      <c r="AQ97" s="388"/>
      <c r="AR97" s="388"/>
      <c r="AS97" s="388"/>
    </row>
    <row r="98" spans="2:45" s="253" customFormat="1" ht="14.1" customHeight="1">
      <c r="B98" s="401"/>
      <c r="D98" s="383"/>
      <c r="E98" s="383"/>
      <c r="F98" s="383"/>
      <c r="G98" s="383"/>
      <c r="H98" s="384"/>
      <c r="I98" s="385"/>
      <c r="J98" s="385"/>
      <c r="K98" s="386"/>
      <c r="L98" s="384"/>
      <c r="M98" s="385"/>
      <c r="N98" s="385"/>
      <c r="O98" s="386"/>
      <c r="P98" s="384"/>
      <c r="Q98" s="383"/>
      <c r="R98" s="383"/>
      <c r="S98" s="383"/>
      <c r="T98" s="384"/>
      <c r="U98" s="383"/>
      <c r="V98" s="383"/>
      <c r="W98" s="383"/>
      <c r="X98" s="384"/>
      <c r="Y98" s="383"/>
      <c r="Z98" s="383"/>
      <c r="AA98" s="383"/>
      <c r="AB98" s="387"/>
      <c r="AC98" s="383"/>
      <c r="AD98" s="383"/>
      <c r="AE98" s="383"/>
      <c r="AF98" s="387"/>
      <c r="AG98" s="383"/>
      <c r="AH98" s="383"/>
      <c r="AI98" s="383"/>
      <c r="AJ98" s="387"/>
      <c r="AK98" s="383"/>
      <c r="AL98" s="383"/>
      <c r="AM98" s="383"/>
      <c r="AN98" s="387"/>
      <c r="AO98" s="383"/>
      <c r="AP98" s="383"/>
      <c r="AQ98" s="383"/>
      <c r="AR98" s="383"/>
      <c r="AS98" s="383"/>
    </row>
    <row r="99" spans="2:45" s="253" customFormat="1" ht="14.1" customHeight="1">
      <c r="B99" s="401"/>
      <c r="D99" s="383"/>
      <c r="E99" s="383"/>
      <c r="F99" s="383"/>
      <c r="G99" s="383"/>
      <c r="H99" s="384"/>
      <c r="I99" s="385"/>
      <c r="J99" s="385"/>
      <c r="K99" s="386"/>
      <c r="L99" s="384"/>
      <c r="M99" s="385"/>
      <c r="N99" s="385"/>
      <c r="O99" s="386"/>
      <c r="P99" s="384"/>
      <c r="Q99" s="383"/>
      <c r="R99" s="383"/>
      <c r="S99" s="383"/>
      <c r="T99" s="384"/>
      <c r="U99" s="383"/>
      <c r="V99" s="383"/>
      <c r="W99" s="383"/>
      <c r="X99" s="384"/>
      <c r="Y99" s="383"/>
      <c r="Z99" s="383"/>
      <c r="AA99" s="383"/>
      <c r="AB99" s="387"/>
      <c r="AC99" s="383"/>
      <c r="AD99" s="383"/>
      <c r="AE99" s="383"/>
      <c r="AF99" s="387"/>
      <c r="AG99" s="383"/>
      <c r="AH99" s="383"/>
      <c r="AI99" s="383"/>
      <c r="AJ99" s="387"/>
      <c r="AK99" s="383"/>
      <c r="AL99" s="383"/>
      <c r="AM99" s="383"/>
      <c r="AN99" s="387"/>
      <c r="AO99" s="383"/>
      <c r="AP99" s="383"/>
      <c r="AQ99" s="383"/>
      <c r="AR99" s="383"/>
      <c r="AS99" s="383"/>
    </row>
  </sheetData>
  <phoneticPr fontId="14" type="noConversion"/>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FC07A-1177-4472-8A34-E10CB3F7AFDD}">
  <dimension ref="B2:AE64"/>
  <sheetViews>
    <sheetView showGridLines="0" tabSelected="1" zoomScale="115" zoomScaleNormal="115" workbookViewId="0">
      <pane xSplit="3" ySplit="6" topLeftCell="D7" activePane="bottomRight" state="frozen"/>
      <selection pane="topRight" activeCell="D1" sqref="D1"/>
      <selection pane="bottomLeft" activeCell="A3" sqref="A3"/>
      <selection pane="bottomRight" activeCell="E1" sqref="E1"/>
    </sheetView>
  </sheetViews>
  <sheetFormatPr baseColWidth="10" defaultRowHeight="12" customHeight="1" outlineLevelCol="1"/>
  <cols>
    <col min="1" max="1" width="3.140625" style="494" customWidth="1"/>
    <col min="2" max="2" width="37" style="494" customWidth="1"/>
    <col min="3" max="3" width="12.42578125" style="493" customWidth="1"/>
    <col min="4" max="4" width="3.7109375" style="494" customWidth="1"/>
    <col min="5" max="5" width="11.42578125" style="645" customWidth="1"/>
    <col min="6" max="6" width="11.42578125" style="615" customWidth="1"/>
    <col min="7" max="7" width="11.42578125" style="563" customWidth="1"/>
    <col min="8" max="17" width="11.42578125" style="495" customWidth="1" outlineLevel="1"/>
    <col min="18" max="18" width="3" style="496" customWidth="1"/>
    <col min="19" max="19" width="11.85546875" style="497" customWidth="1"/>
    <col min="20" max="24" width="11.85546875" style="497" customWidth="1" outlineLevel="1"/>
    <col min="25" max="25" width="2.140625" style="578" customWidth="1"/>
    <col min="26" max="26" width="23.5703125" style="578" customWidth="1"/>
    <col min="27" max="27" width="2.140625" style="494" customWidth="1"/>
    <col min="28" max="28" width="23.5703125" style="577" customWidth="1"/>
    <col min="29" max="29" width="2.140625" style="578" customWidth="1"/>
    <col min="30" max="30" width="23.5703125" style="578" customWidth="1"/>
    <col min="31" max="31" width="11.42578125" style="496"/>
    <col min="32" max="16384" width="11.42578125" style="494"/>
  </cols>
  <sheetData>
    <row r="2" spans="2:31" ht="12" customHeight="1">
      <c r="B2" s="492" t="s">
        <v>895</v>
      </c>
    </row>
    <row r="3" spans="2:31" ht="12" customHeight="1">
      <c r="D3" s="576" t="s">
        <v>894</v>
      </c>
      <c r="E3" s="576"/>
      <c r="F3" s="576"/>
      <c r="R3" s="576" t="s">
        <v>896</v>
      </c>
    </row>
    <row r="4" spans="2:31" s="556" customFormat="1" ht="12" hidden="1" customHeight="1">
      <c r="C4" s="557"/>
      <c r="G4" s="564">
        <v>2021</v>
      </c>
      <c r="H4" s="558">
        <v>2021</v>
      </c>
      <c r="I4" s="558">
        <v>2021</v>
      </c>
      <c r="J4" s="558">
        <v>2021</v>
      </c>
      <c r="K4" s="558">
        <v>2020</v>
      </c>
      <c r="L4" s="558">
        <v>2020</v>
      </c>
      <c r="M4" s="558">
        <v>2020</v>
      </c>
      <c r="N4" s="558">
        <v>2020</v>
      </c>
      <c r="O4" s="558">
        <v>2019</v>
      </c>
      <c r="P4" s="558">
        <v>2019</v>
      </c>
      <c r="Q4" s="558">
        <v>2019</v>
      </c>
      <c r="R4" s="559"/>
      <c r="S4" s="558"/>
      <c r="T4" s="558"/>
      <c r="U4" s="558"/>
      <c r="V4" s="558"/>
      <c r="W4" s="558"/>
      <c r="X4" s="558"/>
      <c r="Y4" s="580"/>
      <c r="Z4" s="580"/>
      <c r="AB4" s="579"/>
      <c r="AC4" s="580"/>
      <c r="AD4" s="580"/>
      <c r="AE4" s="559"/>
    </row>
    <row r="5" spans="2:31" s="507" customFormat="1" ht="12" hidden="1" customHeight="1">
      <c r="C5" s="560"/>
      <c r="G5" s="565">
        <v>4</v>
      </c>
      <c r="H5" s="497">
        <v>3</v>
      </c>
      <c r="I5" s="497"/>
      <c r="J5" s="497"/>
      <c r="K5" s="497"/>
      <c r="L5" s="497"/>
      <c r="M5" s="497"/>
      <c r="N5" s="497"/>
      <c r="O5" s="497"/>
      <c r="P5" s="497"/>
      <c r="Q5" s="497"/>
      <c r="R5" s="561"/>
      <c r="S5" s="497" t="s">
        <v>883</v>
      </c>
      <c r="T5" s="497"/>
      <c r="U5" s="497"/>
      <c r="V5" s="497"/>
      <c r="W5" s="497"/>
      <c r="X5" s="497"/>
      <c r="Y5" s="582"/>
      <c r="Z5" s="582"/>
      <c r="AB5" s="581"/>
      <c r="AC5" s="582"/>
      <c r="AD5" s="582"/>
      <c r="AE5" s="561"/>
    </row>
    <row r="6" spans="2:31" s="498" customFormat="1" ht="12" customHeight="1">
      <c r="C6" s="499" t="s">
        <v>294</v>
      </c>
      <c r="D6" s="500"/>
      <c r="E6" s="566" t="s">
        <v>924</v>
      </c>
      <c r="F6" s="499" t="s">
        <v>921</v>
      </c>
      <c r="G6" s="566" t="s">
        <v>882</v>
      </c>
      <c r="H6" s="501" t="s">
        <v>849</v>
      </c>
      <c r="I6" s="501" t="s">
        <v>687</v>
      </c>
      <c r="J6" s="501" t="s">
        <v>668</v>
      </c>
      <c r="K6" s="501" t="s">
        <v>643</v>
      </c>
      <c r="L6" s="501" t="s">
        <v>629</v>
      </c>
      <c r="M6" s="501" t="s">
        <v>510</v>
      </c>
      <c r="N6" s="501" t="s">
        <v>669</v>
      </c>
      <c r="O6" s="501" t="s">
        <v>642</v>
      </c>
      <c r="P6" s="501" t="s">
        <v>630</v>
      </c>
      <c r="Q6" s="501" t="s">
        <v>509</v>
      </c>
      <c r="R6" s="496"/>
      <c r="S6" s="502">
        <v>2021</v>
      </c>
      <c r="T6" s="502">
        <v>2020</v>
      </c>
      <c r="U6" s="503">
        <v>2019</v>
      </c>
      <c r="V6" s="503">
        <v>2018</v>
      </c>
      <c r="W6" s="503">
        <v>2017</v>
      </c>
      <c r="X6" s="503">
        <v>2016</v>
      </c>
      <c r="Y6" s="584"/>
      <c r="Z6" s="584" t="s">
        <v>884</v>
      </c>
      <c r="AB6" s="583" t="s">
        <v>633</v>
      </c>
      <c r="AC6" s="584"/>
      <c r="AD6" s="584" t="s">
        <v>491</v>
      </c>
      <c r="AE6" s="504"/>
    </row>
    <row r="7" spans="2:31" s="498" customFormat="1" ht="12" customHeight="1">
      <c r="B7" s="500" t="s">
        <v>538</v>
      </c>
      <c r="C7" s="499"/>
      <c r="D7" s="500"/>
      <c r="E7" s="500"/>
      <c r="F7" s="500"/>
      <c r="G7" s="566"/>
      <c r="H7" s="501"/>
      <c r="I7" s="501"/>
      <c r="J7" s="501"/>
      <c r="K7" s="501"/>
      <c r="L7" s="501"/>
      <c r="M7" s="501"/>
      <c r="N7" s="501"/>
      <c r="O7" s="501"/>
      <c r="P7" s="501"/>
      <c r="Q7" s="501"/>
      <c r="R7" s="496"/>
      <c r="S7" s="503"/>
      <c r="T7" s="503"/>
      <c r="U7" s="503"/>
      <c r="V7" s="503"/>
      <c r="W7" s="503"/>
      <c r="X7" s="503"/>
      <c r="Y7" s="584"/>
      <c r="Z7" s="584"/>
      <c r="AB7" s="583"/>
      <c r="AC7" s="584"/>
      <c r="AD7" s="584"/>
      <c r="AE7" s="504"/>
    </row>
    <row r="8" spans="2:31" s="507" customFormat="1" ht="12" customHeight="1">
      <c r="B8" s="505" t="s">
        <v>511</v>
      </c>
      <c r="C8" s="506" t="s">
        <v>552</v>
      </c>
      <c r="E8" s="507">
        <v>1549</v>
      </c>
      <c r="F8" s="507">
        <v>1644</v>
      </c>
      <c r="G8" s="567">
        <v>1614</v>
      </c>
      <c r="H8" s="508">
        <v>1243.4487632710986</v>
      </c>
      <c r="I8" s="508">
        <v>1365.9261007051471</v>
      </c>
      <c r="J8" s="508">
        <v>1418.7351239809464</v>
      </c>
      <c r="K8" s="508">
        <v>1193.8032203929333</v>
      </c>
      <c r="L8" s="508">
        <v>1181.0485842902795</v>
      </c>
      <c r="M8" s="508">
        <v>978.27871040035711</v>
      </c>
      <c r="N8" s="508">
        <v>1194.5430880316972</v>
      </c>
      <c r="O8" s="508">
        <v>1335.918007928017</v>
      </c>
      <c r="P8" s="508">
        <v>1266.9347970477379</v>
      </c>
      <c r="Q8" s="508">
        <v>1527.976106661122</v>
      </c>
      <c r="R8" s="496"/>
      <c r="S8" s="509">
        <v>5669.86</v>
      </c>
      <c r="T8" s="509">
        <v>4548.08</v>
      </c>
      <c r="U8" s="509">
        <v>5625</v>
      </c>
      <c r="V8" s="509">
        <v>6516</v>
      </c>
      <c r="W8" s="509">
        <v>6317</v>
      </c>
      <c r="X8" s="509">
        <v>7125.1159193589492</v>
      </c>
      <c r="Y8" s="582"/>
      <c r="Z8" s="582"/>
      <c r="AB8" s="658" t="s">
        <v>868</v>
      </c>
      <c r="AC8" s="582"/>
      <c r="AD8" s="582"/>
      <c r="AE8" s="510"/>
    </row>
    <row r="9" spans="2:31" s="552" customFormat="1" ht="12" customHeight="1">
      <c r="B9" s="550" t="s">
        <v>175</v>
      </c>
      <c r="C9" s="551" t="s">
        <v>502</v>
      </c>
      <c r="E9" s="568">
        <f>27/E8</f>
        <v>1.7430600387346677E-2</v>
      </c>
      <c r="F9" s="568">
        <f>(76)/F8</f>
        <v>4.6228710462287104E-2</v>
      </c>
      <c r="G9" s="568">
        <v>2.7829385637482815E-2</v>
      </c>
      <c r="H9" s="524">
        <v>2.3691032079439459E-2</v>
      </c>
      <c r="I9" s="524">
        <v>3.0363272679325041E-2</v>
      </c>
      <c r="J9" s="524">
        <v>5.1687894209761484E-2</v>
      </c>
      <c r="K9" s="524">
        <v>2.8259275208602625E-2</v>
      </c>
      <c r="L9" s="524">
        <v>1.876362640672562E-2</v>
      </c>
      <c r="M9" s="524">
        <v>3.5316822805906367E-2</v>
      </c>
      <c r="N9" s="524">
        <v>6.5748388841638805E-2</v>
      </c>
      <c r="O9" s="524">
        <v>3.4415398046252946E-2</v>
      </c>
      <c r="P9" s="524">
        <v>3.37432203295851E-2</v>
      </c>
      <c r="Q9" s="524">
        <v>2.6636125156063319E-2</v>
      </c>
      <c r="R9" s="553"/>
      <c r="S9" s="525">
        <v>3.3279999999999997E-2</v>
      </c>
      <c r="T9" s="525">
        <v>3.7224499129302917E-2</v>
      </c>
      <c r="U9" s="525">
        <v>3.8008188403168379E-2</v>
      </c>
      <c r="V9" s="525">
        <v>3.3894079490990867E-2</v>
      </c>
      <c r="W9" s="525">
        <v>2.5899869342677129E-2</v>
      </c>
      <c r="X9" s="525">
        <v>2.7827368533407486E-2</v>
      </c>
      <c r="Y9" s="585"/>
      <c r="Z9" s="659" t="s">
        <v>897</v>
      </c>
      <c r="AB9" s="658"/>
      <c r="AC9" s="585"/>
      <c r="AD9" s="585"/>
      <c r="AE9" s="553"/>
    </row>
    <row r="10" spans="2:31" s="552" customFormat="1" ht="12" customHeight="1">
      <c r="B10" s="550" t="s">
        <v>513</v>
      </c>
      <c r="C10" s="551" t="s">
        <v>502</v>
      </c>
      <c r="E10" s="568">
        <f>10/E8</f>
        <v>6.4557779212395094E-3</v>
      </c>
      <c r="F10" s="568">
        <f>13/F8</f>
        <v>7.9075425790754265E-3</v>
      </c>
      <c r="G10" s="568">
        <v>1.5793839742884529E-2</v>
      </c>
      <c r="H10" s="524">
        <v>1.7117815250630785E-2</v>
      </c>
      <c r="I10" s="524">
        <v>1.2053374638276987E-2</v>
      </c>
      <c r="J10" s="524">
        <v>1.3816335443220655E-2</v>
      </c>
      <c r="K10" s="524">
        <v>1.2419576764183909E-2</v>
      </c>
      <c r="L10" s="524">
        <v>9.9717640575109501E-3</v>
      </c>
      <c r="M10" s="524">
        <v>1.1351612970760962E-2</v>
      </c>
      <c r="N10" s="524">
        <v>1.0657166486121932E-2</v>
      </c>
      <c r="O10" s="524">
        <v>6.2415287558944873E-3</v>
      </c>
      <c r="P10" s="524">
        <v>6.3806676901111284E-3</v>
      </c>
      <c r="Q10" s="524">
        <v>5.0343165553870918E-3</v>
      </c>
      <c r="R10" s="553"/>
      <c r="S10" s="525">
        <v>1.8884416899182698E-2</v>
      </c>
      <c r="T10" s="525">
        <v>1.3999533869237128E-2</v>
      </c>
      <c r="U10" s="525">
        <v>6.1254702308539072E-3</v>
      </c>
      <c r="V10" s="525">
        <v>1.8831641596072787E-3</v>
      </c>
      <c r="W10" s="525">
        <v>8.5291024534542997E-4</v>
      </c>
      <c r="X10" s="525">
        <v>0</v>
      </c>
      <c r="Y10" s="585"/>
      <c r="Z10" s="659"/>
      <c r="AB10" s="658"/>
      <c r="AC10" s="585"/>
      <c r="AD10" s="585"/>
      <c r="AE10" s="553"/>
    </row>
    <row r="11" spans="2:31" s="552" customFormat="1" ht="12" customHeight="1">
      <c r="B11" s="550" t="s">
        <v>514</v>
      </c>
      <c r="C11" s="551" t="s">
        <v>502</v>
      </c>
      <c r="E11" s="568">
        <f>11/E8</f>
        <v>7.1013557133634605E-3</v>
      </c>
      <c r="F11" s="568">
        <f>(12)/F8</f>
        <v>7.2992700729927005E-3</v>
      </c>
      <c r="G11" s="568">
        <v>9.5183290698226397E-3</v>
      </c>
      <c r="H11" s="524">
        <v>1.2646230941264977E-2</v>
      </c>
      <c r="I11" s="524">
        <v>9.0557839666755621E-3</v>
      </c>
      <c r="J11" s="524">
        <v>1.6341561482591319E-2</v>
      </c>
      <c r="K11" s="524">
        <v>8.5440235575641905E-3</v>
      </c>
      <c r="L11" s="524">
        <v>7.0711238516768119E-3</v>
      </c>
      <c r="M11" s="524">
        <v>7.9112589904874499E-3</v>
      </c>
      <c r="N11" s="524">
        <v>5.432887853120935E-3</v>
      </c>
      <c r="O11" s="524">
        <v>3.9298757629293024E-3</v>
      </c>
      <c r="P11" s="524">
        <v>3.7699697127808358E-3</v>
      </c>
      <c r="Q11" s="524">
        <v>2.5868568068509118E-3</v>
      </c>
      <c r="R11" s="554"/>
      <c r="S11" s="525">
        <v>8.1455831008173177E-3</v>
      </c>
      <c r="T11" s="525">
        <v>4.3145679055777387E-3</v>
      </c>
      <c r="U11" s="525">
        <v>3.3750407639448654E-3</v>
      </c>
      <c r="V11" s="525">
        <v>1.25179364670612E-3</v>
      </c>
      <c r="W11" s="525">
        <v>0</v>
      </c>
      <c r="X11" s="525">
        <v>0</v>
      </c>
      <c r="Y11" s="585"/>
      <c r="Z11" s="659"/>
      <c r="AB11" s="658"/>
      <c r="AC11" s="585"/>
      <c r="AD11" s="585"/>
      <c r="AE11" s="553"/>
    </row>
    <row r="12" spans="2:31" ht="12" customHeight="1">
      <c r="B12" s="511" t="s">
        <v>512</v>
      </c>
      <c r="C12" s="148" t="s">
        <v>502</v>
      </c>
      <c r="E12" s="569">
        <f>1488/E8</f>
        <v>0.96061975468043903</v>
      </c>
      <c r="F12" s="569">
        <f>(1419+47)/F8</f>
        <v>0.8917274939172749</v>
      </c>
      <c r="G12" s="569">
        <v>0.92494748700675855</v>
      </c>
      <c r="H12" s="512">
        <v>0.93550894448582267</v>
      </c>
      <c r="I12" s="512">
        <v>0.94138507673840122</v>
      </c>
      <c r="J12" s="512">
        <v>0.90905962854425026</v>
      </c>
      <c r="K12" s="512">
        <v>0.95061144745385506</v>
      </c>
      <c r="L12" s="512">
        <v>0.96331431781257693</v>
      </c>
      <c r="M12" s="512">
        <v>0.90315885497795811</v>
      </c>
      <c r="N12" s="512">
        <v>0.778156908589416</v>
      </c>
      <c r="O12" s="512">
        <v>0.86901291677112713</v>
      </c>
      <c r="P12" s="512">
        <v>0.72699609587792746</v>
      </c>
      <c r="Q12" s="512">
        <v>0.75001341610995698</v>
      </c>
      <c r="R12" s="505"/>
      <c r="S12" s="513">
        <v>0.92252999999999996</v>
      </c>
      <c r="T12" s="513">
        <v>0.89834611528381203</v>
      </c>
      <c r="U12" s="513">
        <v>0.74760356404094686</v>
      </c>
      <c r="V12" s="513">
        <v>0.68858545871095145</v>
      </c>
      <c r="W12" s="513">
        <v>0.75273734065442222</v>
      </c>
      <c r="X12" s="513">
        <v>0.48903618732617005</v>
      </c>
      <c r="Z12" s="659"/>
      <c r="AB12" s="658"/>
      <c r="AE12" s="514"/>
    </row>
    <row r="13" spans="2:31" s="552" customFormat="1" ht="12" customHeight="1">
      <c r="B13" s="550" t="s">
        <v>515</v>
      </c>
      <c r="C13" s="551" t="s">
        <v>502</v>
      </c>
      <c r="E13" s="568">
        <f>13/E8</f>
        <v>8.3925112976113627E-3</v>
      </c>
      <c r="F13" s="568">
        <f>(59+19)/F8</f>
        <v>4.7445255474452552E-2</v>
      </c>
      <c r="G13" s="568">
        <v>3.1310499473867819E-2</v>
      </c>
      <c r="H13" s="524">
        <v>1.1035977242842103E-2</v>
      </c>
      <c r="I13" s="524">
        <v>7.1424919773211016E-3</v>
      </c>
      <c r="J13" s="524">
        <v>9.0945803201763018E-3</v>
      </c>
      <c r="K13" s="524">
        <v>1.6567701579402674E-4</v>
      </c>
      <c r="L13" s="524">
        <v>8.7916787150967501E-4</v>
      </c>
      <c r="M13" s="524">
        <v>4.2261450254887242E-2</v>
      </c>
      <c r="N13" s="524">
        <v>0.14000464822970232</v>
      </c>
      <c r="O13" s="524">
        <v>8.6400280663796097E-2</v>
      </c>
      <c r="P13" s="524">
        <v>0.22911004638959548</v>
      </c>
      <c r="Q13" s="524">
        <v>0.21572928537174169</v>
      </c>
      <c r="R13" s="554"/>
      <c r="S13" s="525">
        <v>1.7160000000000002E-2</v>
      </c>
      <c r="T13" s="525">
        <v>4.6116163304075572E-2</v>
      </c>
      <c r="U13" s="525">
        <v>0.20488773656108611</v>
      </c>
      <c r="V13" s="525">
        <v>0.27438550399174433</v>
      </c>
      <c r="W13" s="525">
        <v>0.22050987975755523</v>
      </c>
      <c r="X13" s="525">
        <v>0.48313644414042239</v>
      </c>
      <c r="Y13" s="585"/>
      <c r="Z13" s="659"/>
      <c r="AB13" s="658"/>
      <c r="AC13" s="585"/>
      <c r="AD13" s="585"/>
      <c r="AE13" s="553"/>
    </row>
    <row r="14" spans="2:31" ht="12" customHeight="1">
      <c r="B14" s="505" t="s">
        <v>561</v>
      </c>
      <c r="C14" s="148" t="s">
        <v>545</v>
      </c>
      <c r="E14" s="507">
        <f>F14</f>
        <v>583277</v>
      </c>
      <c r="F14" s="507">
        <f>G14</f>
        <v>583277</v>
      </c>
      <c r="G14" s="567">
        <v>583277</v>
      </c>
      <c r="H14" s="508">
        <v>287880</v>
      </c>
      <c r="I14" s="508">
        <v>287918</v>
      </c>
      <c r="J14" s="508">
        <v>287954</v>
      </c>
      <c r="K14" s="508">
        <v>289979</v>
      </c>
      <c r="L14" s="508">
        <v>275460</v>
      </c>
      <c r="M14" s="508">
        <f>140000+128417</f>
        <v>268417</v>
      </c>
      <c r="N14" s="508">
        <v>263639</v>
      </c>
      <c r="O14" s="508">
        <v>236319</v>
      </c>
      <c r="P14" s="508">
        <v>191129</v>
      </c>
      <c r="Q14" s="508">
        <v>140000</v>
      </c>
      <c r="R14" s="515"/>
      <c r="S14" s="509">
        <v>583277</v>
      </c>
      <c r="T14" s="509">
        <v>289979</v>
      </c>
      <c r="U14" s="509">
        <f>140000+96319</f>
        <v>236319</v>
      </c>
      <c r="V14" s="509">
        <v>140000</v>
      </c>
      <c r="W14" s="509">
        <v>0</v>
      </c>
      <c r="X14" s="509">
        <v>0</v>
      </c>
      <c r="AB14" s="658"/>
      <c r="AD14" s="578" t="s">
        <v>566</v>
      </c>
      <c r="AE14" s="514"/>
    </row>
    <row r="15" spans="2:31" ht="12" customHeight="1">
      <c r="B15" s="505" t="s">
        <v>524</v>
      </c>
      <c r="C15" s="148" t="s">
        <v>502</v>
      </c>
      <c r="E15" s="570">
        <v>0.5714285714285714</v>
      </c>
      <c r="F15" s="569">
        <v>0.5714285714285714</v>
      </c>
      <c r="G15" s="570">
        <v>0.5714285714285714</v>
      </c>
      <c r="H15" s="516">
        <v>0.5714285714285714</v>
      </c>
      <c r="I15" s="516">
        <v>0.5714285714285714</v>
      </c>
      <c r="J15" s="516">
        <v>0.5714285714285714</v>
      </c>
      <c r="K15" s="516">
        <v>0.5714285714285714</v>
      </c>
      <c r="L15" s="516">
        <v>0.5714285714285714</v>
      </c>
      <c r="M15" s="516">
        <f>4/7</f>
        <v>0.5714285714285714</v>
      </c>
      <c r="N15" s="516">
        <v>0.5714285714285714</v>
      </c>
      <c r="O15" s="516">
        <v>0.5714285714285714</v>
      </c>
      <c r="P15" s="516">
        <v>0.5714285714285714</v>
      </c>
      <c r="Q15" s="516">
        <f>4/7</f>
        <v>0.5714285714285714</v>
      </c>
      <c r="R15" s="517"/>
      <c r="S15" s="518">
        <v>0.5714285714285714</v>
      </c>
      <c r="T15" s="518">
        <v>0.5714285714285714</v>
      </c>
      <c r="U15" s="518">
        <f>4/7</f>
        <v>0.5714285714285714</v>
      </c>
      <c r="V15" s="518">
        <f>4/7</f>
        <v>0.5714285714285714</v>
      </c>
      <c r="W15" s="518">
        <f>4/7</f>
        <v>0.5714285714285714</v>
      </c>
      <c r="X15" s="518">
        <f>4/7</f>
        <v>0.5714285714285714</v>
      </c>
      <c r="AB15" s="658"/>
      <c r="AE15" s="514"/>
    </row>
    <row r="16" spans="2:31" ht="12" customHeight="1">
      <c r="B16" s="505" t="s">
        <v>560</v>
      </c>
      <c r="C16" s="519" t="s">
        <v>523</v>
      </c>
      <c r="D16" s="520"/>
      <c r="E16" s="571">
        <v>2</v>
      </c>
      <c r="F16" s="571">
        <v>2</v>
      </c>
      <c r="G16" s="571">
        <v>2</v>
      </c>
      <c r="H16" s="521">
        <v>2</v>
      </c>
      <c r="I16" s="521">
        <v>2</v>
      </c>
      <c r="J16" s="521">
        <v>2</v>
      </c>
      <c r="K16" s="521">
        <v>2</v>
      </c>
      <c r="L16" s="521">
        <v>2</v>
      </c>
      <c r="M16" s="521">
        <v>2</v>
      </c>
      <c r="N16" s="521">
        <v>2</v>
      </c>
      <c r="O16" s="521">
        <v>2</v>
      </c>
      <c r="P16" s="521">
        <v>2</v>
      </c>
      <c r="Q16" s="521">
        <v>2</v>
      </c>
      <c r="R16" s="522"/>
      <c r="S16" s="523">
        <v>2</v>
      </c>
      <c r="T16" s="523">
        <v>2</v>
      </c>
      <c r="U16" s="523">
        <v>2</v>
      </c>
      <c r="V16" s="523">
        <v>2</v>
      </c>
      <c r="W16" s="523">
        <v>2</v>
      </c>
      <c r="X16" s="523">
        <v>2</v>
      </c>
      <c r="AB16" s="658"/>
      <c r="AE16" s="514"/>
    </row>
    <row r="17" spans="2:31" ht="12" customHeight="1">
      <c r="B17" s="505" t="s">
        <v>540</v>
      </c>
      <c r="C17" s="148" t="s">
        <v>502</v>
      </c>
      <c r="E17" s="568">
        <v>0.96633999999999998</v>
      </c>
      <c r="F17" s="568">
        <v>0.94471000000000005</v>
      </c>
      <c r="G17" s="568">
        <v>0.94577899794097464</v>
      </c>
      <c r="H17" s="524">
        <v>0.94199999999999995</v>
      </c>
      <c r="I17" s="524">
        <v>0.93834586466165415</v>
      </c>
      <c r="J17" s="524">
        <v>0.94299999999999995</v>
      </c>
      <c r="K17" s="524">
        <v>0.9535066981875493</v>
      </c>
      <c r="L17" s="524">
        <v>0.95783611774065236</v>
      </c>
      <c r="M17" s="524">
        <v>0.93703007518796988</v>
      </c>
      <c r="N17" s="524">
        <v>0.95783611774065236</v>
      </c>
      <c r="O17" s="524">
        <v>0.92018779342723001</v>
      </c>
      <c r="P17" s="524">
        <v>0.94951017332328558</v>
      </c>
      <c r="Q17" s="524">
        <v>0.94951017332328558</v>
      </c>
      <c r="R17" s="505"/>
      <c r="S17" s="525">
        <v>0.91859999999999997</v>
      </c>
      <c r="T17" s="525">
        <v>0.92620000000000002</v>
      </c>
      <c r="U17" s="525">
        <v>0.91140134133427464</v>
      </c>
      <c r="V17" s="525">
        <f>2375/2603</f>
        <v>0.91240875912408759</v>
      </c>
      <c r="W17" s="525">
        <f>2523/2759</f>
        <v>0.91446176150779268</v>
      </c>
      <c r="X17" s="525">
        <f>2414/2654</f>
        <v>0.90957045968349659</v>
      </c>
      <c r="AB17" s="658"/>
      <c r="AE17" s="514"/>
    </row>
    <row r="18" spans="2:31" s="547" customFormat="1" ht="12" customHeight="1">
      <c r="B18" s="549" t="s">
        <v>516</v>
      </c>
      <c r="C18" s="546" t="s">
        <v>523</v>
      </c>
      <c r="E18" s="569" t="s">
        <v>670</v>
      </c>
      <c r="F18" s="569" t="s">
        <v>670</v>
      </c>
      <c r="G18" s="569" t="s">
        <v>670</v>
      </c>
      <c r="H18" s="512" t="s">
        <v>670</v>
      </c>
      <c r="I18" s="512" t="s">
        <v>670</v>
      </c>
      <c r="J18" s="512" t="s">
        <v>670</v>
      </c>
      <c r="K18" s="512" t="s">
        <v>541</v>
      </c>
      <c r="L18" s="512" t="s">
        <v>541</v>
      </c>
      <c r="M18" s="512" t="s">
        <v>541</v>
      </c>
      <c r="N18" s="512" t="s">
        <v>541</v>
      </c>
      <c r="O18" s="512" t="s">
        <v>541</v>
      </c>
      <c r="P18" s="512" t="s">
        <v>541</v>
      </c>
      <c r="Q18" s="512" t="s">
        <v>541</v>
      </c>
      <c r="R18" s="549"/>
      <c r="S18" s="513">
        <v>0.91400000000000003</v>
      </c>
      <c r="T18" s="513">
        <v>0.93400000000000005</v>
      </c>
      <c r="U18" s="555">
        <v>91</v>
      </c>
      <c r="V18" s="555">
        <v>86</v>
      </c>
      <c r="W18" s="555">
        <v>83</v>
      </c>
      <c r="X18" s="555" t="s">
        <v>159</v>
      </c>
      <c r="Y18" s="586"/>
      <c r="Z18" s="586"/>
      <c r="AB18" s="658"/>
      <c r="AC18" s="586"/>
      <c r="AD18" s="586"/>
      <c r="AE18" s="548"/>
    </row>
    <row r="19" spans="2:31" ht="12" customHeight="1">
      <c r="B19" s="505" t="s">
        <v>557</v>
      </c>
      <c r="C19" s="148" t="s">
        <v>502</v>
      </c>
      <c r="E19" s="572" t="s">
        <v>541</v>
      </c>
      <c r="F19" s="572" t="s">
        <v>541</v>
      </c>
      <c r="G19" s="572" t="s">
        <v>541</v>
      </c>
      <c r="H19" s="526" t="s">
        <v>541</v>
      </c>
      <c r="I19" s="526" t="s">
        <v>541</v>
      </c>
      <c r="J19" s="526" t="s">
        <v>541</v>
      </c>
      <c r="K19" s="526" t="s">
        <v>541</v>
      </c>
      <c r="L19" s="526" t="s">
        <v>558</v>
      </c>
      <c r="M19" s="526" t="s">
        <v>558</v>
      </c>
      <c r="N19" s="526" t="s">
        <v>541</v>
      </c>
      <c r="O19" s="526" t="s">
        <v>541</v>
      </c>
      <c r="P19" s="526" t="s">
        <v>558</v>
      </c>
      <c r="Q19" s="526" t="s">
        <v>558</v>
      </c>
      <c r="R19" s="527"/>
      <c r="S19" s="528">
        <v>77.7</v>
      </c>
      <c r="T19" s="528" t="s">
        <v>644</v>
      </c>
      <c r="U19" s="528">
        <v>81.900000000000006</v>
      </c>
      <c r="V19" s="528">
        <v>77.2</v>
      </c>
      <c r="W19" s="528" t="s">
        <v>159</v>
      </c>
      <c r="X19" s="528" t="s">
        <v>559</v>
      </c>
      <c r="AB19" s="658"/>
      <c r="AE19" s="514"/>
    </row>
    <row r="20" spans="2:31" ht="12" customHeight="1">
      <c r="B20" s="505" t="s">
        <v>546</v>
      </c>
      <c r="C20" s="148" t="s">
        <v>523</v>
      </c>
      <c r="E20" s="573">
        <v>235460</v>
      </c>
      <c r="F20" s="573">
        <v>224437</v>
      </c>
      <c r="G20" s="573">
        <v>228868</v>
      </c>
      <c r="H20" s="529">
        <v>233074</v>
      </c>
      <c r="I20" s="529">
        <v>228211</v>
      </c>
      <c r="J20" s="529">
        <v>233049</v>
      </c>
      <c r="K20" s="529">
        <v>278604</v>
      </c>
      <c r="L20" s="529">
        <v>282521</v>
      </c>
      <c r="M20" s="529">
        <v>239407</v>
      </c>
      <c r="N20" s="529">
        <v>282521</v>
      </c>
      <c r="O20" s="529">
        <v>301469</v>
      </c>
      <c r="P20" s="529">
        <v>318099</v>
      </c>
      <c r="Q20" s="529">
        <v>300524</v>
      </c>
      <c r="R20" s="530"/>
      <c r="S20" s="531">
        <v>923202</v>
      </c>
      <c r="T20" s="531">
        <v>1059516</v>
      </c>
      <c r="U20" s="531">
        <v>1234913</v>
      </c>
      <c r="V20" s="531">
        <v>1308802</v>
      </c>
      <c r="W20" s="531" t="s">
        <v>159</v>
      </c>
      <c r="X20" s="531" t="s">
        <v>159</v>
      </c>
      <c r="Z20" s="657" t="s">
        <v>898</v>
      </c>
      <c r="AB20" s="658"/>
      <c r="AE20" s="514"/>
    </row>
    <row r="21" spans="2:31" ht="12" customHeight="1">
      <c r="B21" s="511" t="s">
        <v>547</v>
      </c>
      <c r="C21" s="148" t="s">
        <v>523</v>
      </c>
      <c r="E21" s="573">
        <v>74977</v>
      </c>
      <c r="F21" s="573">
        <v>66692</v>
      </c>
      <c r="G21" s="573">
        <v>63878</v>
      </c>
      <c r="H21" s="529">
        <v>60959</v>
      </c>
      <c r="I21" s="529">
        <v>71122</v>
      </c>
      <c r="J21" s="529">
        <v>71545</v>
      </c>
      <c r="K21" s="529">
        <v>93327</v>
      </c>
      <c r="L21" s="529">
        <v>83344</v>
      </c>
      <c r="M21" s="529">
        <v>78102</v>
      </c>
      <c r="N21" s="529">
        <v>83344</v>
      </c>
      <c r="O21" s="529">
        <v>119688</v>
      </c>
      <c r="P21" s="529">
        <v>93900</v>
      </c>
      <c r="Q21" s="529">
        <v>106822</v>
      </c>
      <c r="R21" s="530"/>
      <c r="S21" s="531">
        <v>267504</v>
      </c>
      <c r="T21" s="531">
        <v>360358</v>
      </c>
      <c r="U21" s="531">
        <v>443782</v>
      </c>
      <c r="V21" s="531">
        <v>367427</v>
      </c>
      <c r="W21" s="531" t="s">
        <v>159</v>
      </c>
      <c r="X21" s="531" t="s">
        <v>159</v>
      </c>
      <c r="Z21" s="657"/>
      <c r="AB21" s="658"/>
      <c r="AE21" s="514"/>
    </row>
    <row r="22" spans="2:31" ht="12" customHeight="1">
      <c r="B22" s="511" t="s">
        <v>548</v>
      </c>
      <c r="C22" s="148" t="s">
        <v>523</v>
      </c>
      <c r="E22" s="573">
        <v>19382</v>
      </c>
      <c r="F22" s="573">
        <v>19709</v>
      </c>
      <c r="G22" s="573">
        <v>25194</v>
      </c>
      <c r="H22" s="529">
        <v>23600</v>
      </c>
      <c r="I22" s="529">
        <v>12907</v>
      </c>
      <c r="J22" s="529">
        <v>7711</v>
      </c>
      <c r="K22" s="529">
        <v>7125</v>
      </c>
      <c r="L22" s="529">
        <v>12913</v>
      </c>
      <c r="M22" s="529">
        <v>21931</v>
      </c>
      <c r="N22" s="529">
        <v>12913</v>
      </c>
      <c r="O22" s="529">
        <v>5498</v>
      </c>
      <c r="P22" s="529">
        <v>7190</v>
      </c>
      <c r="Q22" s="529">
        <v>6787</v>
      </c>
      <c r="R22" s="530"/>
      <c r="S22" s="531">
        <v>69412</v>
      </c>
      <c r="T22" s="531">
        <v>47596</v>
      </c>
      <c r="U22" s="531">
        <v>26339</v>
      </c>
      <c r="V22" s="531">
        <v>32461</v>
      </c>
      <c r="W22" s="531" t="s">
        <v>159</v>
      </c>
      <c r="X22" s="531" t="s">
        <v>159</v>
      </c>
      <c r="Z22" s="657"/>
      <c r="AB22" s="658"/>
      <c r="AE22" s="514"/>
    </row>
    <row r="23" spans="2:31" ht="12" customHeight="1">
      <c r="B23" s="505" t="s">
        <v>562</v>
      </c>
      <c r="C23" s="148" t="s">
        <v>523</v>
      </c>
      <c r="E23" s="573">
        <v>0</v>
      </c>
      <c r="F23" s="573">
        <v>0</v>
      </c>
      <c r="G23" s="573">
        <v>0</v>
      </c>
      <c r="H23" s="529">
        <v>0</v>
      </c>
      <c r="I23" s="529">
        <v>0</v>
      </c>
      <c r="J23" s="529">
        <v>0</v>
      </c>
      <c r="K23" s="529">
        <v>0</v>
      </c>
      <c r="L23" s="529">
        <v>0</v>
      </c>
      <c r="M23" s="529">
        <v>0</v>
      </c>
      <c r="N23" s="529">
        <v>0</v>
      </c>
      <c r="O23" s="529">
        <v>0</v>
      </c>
      <c r="P23" s="529">
        <v>0</v>
      </c>
      <c r="Q23" s="529">
        <v>0</v>
      </c>
      <c r="R23" s="530"/>
      <c r="S23" s="531">
        <v>0</v>
      </c>
      <c r="T23" s="531">
        <v>0</v>
      </c>
      <c r="U23" s="531">
        <v>0</v>
      </c>
      <c r="V23" s="531">
        <v>0</v>
      </c>
      <c r="W23" s="531">
        <v>0</v>
      </c>
      <c r="X23" s="531">
        <v>0</v>
      </c>
      <c r="AA23" s="532"/>
      <c r="AB23" s="658"/>
      <c r="AE23" s="514"/>
    </row>
    <row r="24" spans="2:31" ht="12" customHeight="1">
      <c r="B24" s="505"/>
      <c r="C24" s="148"/>
      <c r="G24" s="573"/>
      <c r="H24" s="529"/>
      <c r="I24" s="529"/>
      <c r="J24" s="529"/>
      <c r="K24" s="529"/>
      <c r="L24" s="529"/>
      <c r="M24" s="529"/>
      <c r="N24" s="529"/>
      <c r="O24" s="529"/>
      <c r="P24" s="529"/>
      <c r="Q24" s="529"/>
      <c r="R24" s="530"/>
      <c r="S24" s="533"/>
      <c r="T24" s="533"/>
      <c r="U24" s="533"/>
      <c r="V24" s="533"/>
      <c r="W24" s="533"/>
      <c r="X24" s="533"/>
      <c r="AA24" s="532"/>
      <c r="AE24" s="514"/>
    </row>
    <row r="25" spans="2:31" s="498" customFormat="1" ht="12" customHeight="1">
      <c r="B25" s="500" t="s">
        <v>508</v>
      </c>
      <c r="C25" s="499" t="s">
        <v>294</v>
      </c>
      <c r="D25" s="500"/>
      <c r="E25" s="500"/>
      <c r="F25" s="499" t="s">
        <v>921</v>
      </c>
      <c r="G25" s="566" t="str">
        <f t="shared" ref="G25:L25" si="0">+G6</f>
        <v>4Q21</v>
      </c>
      <c r="H25" s="501" t="str">
        <f t="shared" si="0"/>
        <v>3Q21</v>
      </c>
      <c r="I25" s="501" t="str">
        <f t="shared" si="0"/>
        <v>2Q21</v>
      </c>
      <c r="J25" s="501" t="str">
        <f t="shared" si="0"/>
        <v>1Q21</v>
      </c>
      <c r="K25" s="501" t="str">
        <f t="shared" si="0"/>
        <v>4Q20</v>
      </c>
      <c r="L25" s="501" t="str">
        <f t="shared" si="0"/>
        <v>3Q20</v>
      </c>
      <c r="M25" s="501" t="str">
        <f t="shared" ref="M25:Q25" si="1">+M6</f>
        <v>2Q20</v>
      </c>
      <c r="N25" s="501" t="str">
        <f t="shared" si="1"/>
        <v>1Q20</v>
      </c>
      <c r="O25" s="501" t="str">
        <f t="shared" si="1"/>
        <v>4Q19</v>
      </c>
      <c r="P25" s="501" t="str">
        <f t="shared" si="1"/>
        <v>3Q19</v>
      </c>
      <c r="Q25" s="501" t="str">
        <f t="shared" si="1"/>
        <v>2Q19</v>
      </c>
      <c r="R25" s="496"/>
      <c r="S25" s="503">
        <f t="shared" ref="S25:X25" si="2">+S6</f>
        <v>2021</v>
      </c>
      <c r="T25" s="503">
        <f t="shared" si="2"/>
        <v>2020</v>
      </c>
      <c r="U25" s="503">
        <f t="shared" si="2"/>
        <v>2019</v>
      </c>
      <c r="V25" s="503">
        <f t="shared" si="2"/>
        <v>2018</v>
      </c>
      <c r="W25" s="503">
        <f t="shared" si="2"/>
        <v>2017</v>
      </c>
      <c r="X25" s="503">
        <f t="shared" si="2"/>
        <v>2016</v>
      </c>
      <c r="Y25" s="584"/>
      <c r="Z25" s="584"/>
      <c r="AB25" s="583"/>
      <c r="AC25" s="584"/>
      <c r="AD25" s="584"/>
      <c r="AE25" s="504"/>
    </row>
    <row r="26" spans="2:31" ht="12" customHeight="1">
      <c r="B26" s="505"/>
      <c r="C26" s="148"/>
      <c r="G26" s="574"/>
      <c r="H26" s="534"/>
      <c r="I26" s="534"/>
      <c r="J26" s="534"/>
      <c r="K26" s="534"/>
      <c r="L26" s="534"/>
      <c r="M26" s="534"/>
      <c r="N26" s="534"/>
      <c r="O26" s="534"/>
      <c r="P26" s="534"/>
      <c r="Q26" s="534"/>
      <c r="R26" s="530"/>
      <c r="S26" s="533"/>
      <c r="T26" s="533"/>
      <c r="U26" s="533"/>
      <c r="V26" s="533"/>
      <c r="W26" s="533"/>
      <c r="X26" s="533"/>
      <c r="AA26" s="532"/>
    </row>
    <row r="27" spans="2:31" ht="12" customHeight="1">
      <c r="B27" s="505" t="s">
        <v>539</v>
      </c>
      <c r="C27" s="148" t="s">
        <v>523</v>
      </c>
      <c r="E27" s="571">
        <v>2491</v>
      </c>
      <c r="F27" s="571">
        <v>2470</v>
      </c>
      <c r="G27" s="571">
        <v>2200</v>
      </c>
      <c r="H27" s="521">
        <v>2172</v>
      </c>
      <c r="I27" s="521">
        <v>2130</v>
      </c>
      <c r="J27" s="521">
        <v>2114</v>
      </c>
      <c r="K27" s="521">
        <v>2131</v>
      </c>
      <c r="L27" s="521">
        <v>2072</v>
      </c>
      <c r="M27" s="521">
        <v>2021</v>
      </c>
      <c r="N27" s="521">
        <v>1979</v>
      </c>
      <c r="O27" s="521">
        <v>1950</v>
      </c>
      <c r="P27" s="521">
        <v>1882</v>
      </c>
      <c r="Q27" s="521">
        <v>1956</v>
      </c>
      <c r="R27" s="530"/>
      <c r="S27" s="523">
        <v>2200</v>
      </c>
      <c r="T27" s="523">
        <v>2131</v>
      </c>
      <c r="U27" s="523">
        <v>1941</v>
      </c>
      <c r="V27" s="523">
        <v>1647</v>
      </c>
      <c r="W27" s="523">
        <v>1586</v>
      </c>
      <c r="X27" s="523">
        <v>1557</v>
      </c>
      <c r="Z27" s="578" t="s">
        <v>910</v>
      </c>
      <c r="AB27" s="658" t="s">
        <v>869</v>
      </c>
    </row>
    <row r="28" spans="2:31" ht="12" customHeight="1">
      <c r="B28" s="505" t="s">
        <v>519</v>
      </c>
      <c r="C28" s="148" t="s">
        <v>502</v>
      </c>
      <c r="E28" s="569">
        <v>0.33760000000000001</v>
      </c>
      <c r="F28" s="569">
        <v>0.33279999999999998</v>
      </c>
      <c r="G28" s="570">
        <v>0.33482000000000001</v>
      </c>
      <c r="H28" s="516">
        <v>0.33048433048433046</v>
      </c>
      <c r="I28" s="516">
        <v>0.32744107744107742</v>
      </c>
      <c r="J28" s="516">
        <v>0.32535271483539974</v>
      </c>
      <c r="K28" s="516">
        <v>0.29938995776630689</v>
      </c>
      <c r="L28" s="516">
        <v>0.31302801244997774</v>
      </c>
      <c r="M28" s="516">
        <v>0.29688273132112813</v>
      </c>
      <c r="N28" s="516">
        <v>0.30681276798475465</v>
      </c>
      <c r="O28" s="516">
        <v>0.29435897435897435</v>
      </c>
      <c r="P28" s="516">
        <v>0.29479479479479481</v>
      </c>
      <c r="Q28" s="516">
        <v>0.2765848670756646</v>
      </c>
      <c r="R28" s="517"/>
      <c r="S28" s="518">
        <v>0.3095</v>
      </c>
      <c r="T28" s="518">
        <v>0.2994</v>
      </c>
      <c r="U28" s="518">
        <v>0.29417825862957236</v>
      </c>
      <c r="V28" s="518">
        <v>0.26472374013357619</v>
      </c>
      <c r="W28" s="518">
        <v>0.25790000000000002</v>
      </c>
      <c r="X28" s="533">
        <v>0.25180000000000002</v>
      </c>
      <c r="AB28" s="658"/>
    </row>
    <row r="29" spans="2:31" ht="12" customHeight="1">
      <c r="B29" s="505" t="s">
        <v>520</v>
      </c>
      <c r="C29" s="148" t="s">
        <v>502</v>
      </c>
      <c r="E29" s="569">
        <v>0.2407</v>
      </c>
      <c r="F29" s="569">
        <v>0.22220000000000001</v>
      </c>
      <c r="G29" s="570">
        <v>0.22069</v>
      </c>
      <c r="H29" s="516">
        <v>0.21428571428571427</v>
      </c>
      <c r="I29" s="516">
        <v>0.20143884892086331</v>
      </c>
      <c r="J29" s="516">
        <v>0.19285714285714287</v>
      </c>
      <c r="K29" s="516">
        <v>0.19424460431654678</v>
      </c>
      <c r="L29" s="516">
        <v>0.20437956204379562</v>
      </c>
      <c r="M29" s="516">
        <v>0.19565217391304349</v>
      </c>
      <c r="N29" s="516">
        <v>0.19852941176470587</v>
      </c>
      <c r="O29" s="516">
        <v>0.21428571428571427</v>
      </c>
      <c r="P29" s="516">
        <v>0.20437956204379562</v>
      </c>
      <c r="Q29" s="516">
        <v>0.20610687022900764</v>
      </c>
      <c r="R29" s="517"/>
      <c r="S29" s="518">
        <v>0.22068965517241379</v>
      </c>
      <c r="T29" s="518">
        <v>0.19424460431654678</v>
      </c>
      <c r="U29" s="518">
        <v>0.20799999999999999</v>
      </c>
      <c r="V29" s="518">
        <v>0.22500000000000001</v>
      </c>
      <c r="W29" s="518">
        <v>0.309</v>
      </c>
      <c r="X29" s="533">
        <v>0.33</v>
      </c>
      <c r="Z29" s="494" t="s">
        <v>899</v>
      </c>
      <c r="AB29" s="658"/>
    </row>
    <row r="30" spans="2:31" ht="12" customHeight="1">
      <c r="B30" s="505" t="s">
        <v>521</v>
      </c>
      <c r="C30" s="148" t="s">
        <v>502</v>
      </c>
      <c r="E30" s="572" t="s">
        <v>541</v>
      </c>
      <c r="F30" s="572" t="s">
        <v>541</v>
      </c>
      <c r="G30" s="572" t="s">
        <v>541</v>
      </c>
      <c r="H30" s="526" t="s">
        <v>541</v>
      </c>
      <c r="I30" s="526" t="s">
        <v>541</v>
      </c>
      <c r="J30" s="526" t="s">
        <v>541</v>
      </c>
      <c r="K30" s="526" t="s">
        <v>541</v>
      </c>
      <c r="L30" s="526" t="s">
        <v>541</v>
      </c>
      <c r="M30" s="526" t="s">
        <v>541</v>
      </c>
      <c r="N30" s="526" t="s">
        <v>541</v>
      </c>
      <c r="O30" s="526" t="s">
        <v>541</v>
      </c>
      <c r="P30" s="526" t="s">
        <v>541</v>
      </c>
      <c r="Q30" s="526" t="s">
        <v>541</v>
      </c>
      <c r="R30" s="517"/>
      <c r="S30" s="518">
        <v>0.30449395451086497</v>
      </c>
      <c r="T30" s="518">
        <v>0.37343114157207113</v>
      </c>
      <c r="U30" s="518">
        <v>0.27837661530815111</v>
      </c>
      <c r="V30" s="518">
        <v>0.23</v>
      </c>
      <c r="W30" s="518">
        <v>0.25</v>
      </c>
      <c r="X30" s="533">
        <v>0.34</v>
      </c>
      <c r="AB30" s="658"/>
    </row>
    <row r="31" spans="2:31" ht="12" customHeight="1">
      <c r="B31" s="505" t="s">
        <v>873</v>
      </c>
      <c r="C31" s="148"/>
      <c r="E31" s="572">
        <v>7</v>
      </c>
      <c r="F31" s="526">
        <v>13.5</v>
      </c>
      <c r="G31" s="572">
        <v>67.3</v>
      </c>
      <c r="H31" s="526">
        <v>106</v>
      </c>
      <c r="I31" s="526">
        <v>59.3</v>
      </c>
      <c r="J31" s="526">
        <v>61.9</v>
      </c>
      <c r="K31" s="526">
        <v>78</v>
      </c>
      <c r="L31" s="526">
        <v>84.9</v>
      </c>
      <c r="M31" s="526">
        <v>58.3</v>
      </c>
      <c r="N31" s="526">
        <v>106.9</v>
      </c>
      <c r="O31" s="526">
        <v>84.9</v>
      </c>
      <c r="P31" s="526">
        <v>136.19999999999999</v>
      </c>
      <c r="Q31" s="526">
        <v>66.400000000000006</v>
      </c>
      <c r="R31" s="505"/>
      <c r="S31" s="528">
        <v>74.099999999999994</v>
      </c>
      <c r="T31" s="528">
        <v>17.5</v>
      </c>
      <c r="U31" s="528">
        <v>20.8</v>
      </c>
      <c r="V31" s="528">
        <v>30.5</v>
      </c>
      <c r="W31" s="528">
        <v>27.4</v>
      </c>
      <c r="X31" s="528">
        <v>93.8</v>
      </c>
      <c r="AB31" s="658"/>
    </row>
    <row r="32" spans="2:31" ht="12" customHeight="1">
      <c r="B32" s="505" t="s">
        <v>689</v>
      </c>
      <c r="C32" s="148"/>
      <c r="E32" s="572" t="s">
        <v>160</v>
      </c>
      <c r="F32" s="526" t="s">
        <v>160</v>
      </c>
      <c r="G32" s="572" t="s">
        <v>160</v>
      </c>
      <c r="H32" s="526">
        <v>2737.6</v>
      </c>
      <c r="I32" s="526">
        <v>2204.1999999999998</v>
      </c>
      <c r="J32" s="526" t="s">
        <v>160</v>
      </c>
      <c r="K32" s="526" t="s">
        <v>160</v>
      </c>
      <c r="L32" s="526" t="s">
        <v>160</v>
      </c>
      <c r="M32" s="526" t="s">
        <v>160</v>
      </c>
      <c r="N32" s="526" t="s">
        <v>160</v>
      </c>
      <c r="O32" s="526" t="s">
        <v>160</v>
      </c>
      <c r="P32" s="526" t="s">
        <v>160</v>
      </c>
      <c r="Q32" s="526" t="s">
        <v>160</v>
      </c>
      <c r="R32" s="505"/>
      <c r="S32" s="526">
        <v>1532.9</v>
      </c>
      <c r="T32" s="526" t="s">
        <v>160</v>
      </c>
      <c r="U32" s="526" t="s">
        <v>160</v>
      </c>
      <c r="V32" s="526" t="s">
        <v>160</v>
      </c>
      <c r="W32" s="526" t="s">
        <v>160</v>
      </c>
      <c r="X32" s="526" t="s">
        <v>160</v>
      </c>
      <c r="AB32" s="658"/>
    </row>
    <row r="33" spans="2:31" ht="12" customHeight="1">
      <c r="B33" s="505" t="s">
        <v>874</v>
      </c>
      <c r="C33" s="148" t="s">
        <v>563</v>
      </c>
      <c r="E33" s="572">
        <v>1.3</v>
      </c>
      <c r="F33" s="526">
        <v>1.8</v>
      </c>
      <c r="G33" s="572">
        <v>8.5</v>
      </c>
      <c r="H33" s="526">
        <v>10.5</v>
      </c>
      <c r="I33" s="526">
        <v>6.1</v>
      </c>
      <c r="J33" s="526">
        <v>6.3</v>
      </c>
      <c r="K33" s="526">
        <v>10</v>
      </c>
      <c r="L33" s="526">
        <v>9.8000000000000007</v>
      </c>
      <c r="M33" s="526">
        <v>7.8</v>
      </c>
      <c r="N33" s="526">
        <v>9.8000000000000007</v>
      </c>
      <c r="O33" s="526">
        <v>9.6999999999999993</v>
      </c>
      <c r="P33" s="526">
        <v>13.9</v>
      </c>
      <c r="Q33" s="526">
        <v>9.1999999999999993</v>
      </c>
      <c r="R33" s="505"/>
      <c r="S33" s="528">
        <v>7.9</v>
      </c>
      <c r="T33" s="528">
        <v>1.2</v>
      </c>
      <c r="U33" s="528">
        <v>3.92</v>
      </c>
      <c r="V33" s="528">
        <v>6.5</v>
      </c>
      <c r="W33" s="528">
        <v>6.6</v>
      </c>
      <c r="X33" s="528">
        <v>9.3000000000000007</v>
      </c>
      <c r="AB33" s="658"/>
    </row>
    <row r="34" spans="2:31" ht="12" customHeight="1">
      <c r="B34" s="505" t="s">
        <v>688</v>
      </c>
      <c r="C34" s="148"/>
      <c r="E34" s="572" t="s">
        <v>160</v>
      </c>
      <c r="F34" s="526" t="s">
        <v>160</v>
      </c>
      <c r="G34" s="572" t="s">
        <v>160</v>
      </c>
      <c r="H34" s="526">
        <v>11</v>
      </c>
      <c r="I34" s="526">
        <v>6.4</v>
      </c>
      <c r="J34" s="526" t="s">
        <v>160</v>
      </c>
      <c r="K34" s="526" t="s">
        <v>160</v>
      </c>
      <c r="L34" s="526" t="s">
        <v>160</v>
      </c>
      <c r="M34" s="526" t="s">
        <v>160</v>
      </c>
      <c r="N34" s="526" t="s">
        <v>160</v>
      </c>
      <c r="O34" s="526" t="s">
        <v>160</v>
      </c>
      <c r="P34" s="526" t="s">
        <v>160</v>
      </c>
      <c r="Q34" s="526" t="s">
        <v>160</v>
      </c>
      <c r="R34" s="505"/>
      <c r="S34" s="526">
        <v>8.1999999999999993</v>
      </c>
      <c r="T34" s="526" t="s">
        <v>160</v>
      </c>
      <c r="U34" s="526" t="s">
        <v>160</v>
      </c>
      <c r="V34" s="526" t="s">
        <v>160</v>
      </c>
      <c r="W34" s="526" t="s">
        <v>160</v>
      </c>
      <c r="X34" s="526" t="s">
        <v>160</v>
      </c>
      <c r="AB34" s="658"/>
    </row>
    <row r="35" spans="2:31" ht="12" customHeight="1">
      <c r="B35" s="505" t="s">
        <v>517</v>
      </c>
      <c r="C35" s="148" t="s">
        <v>523</v>
      </c>
      <c r="E35" s="573">
        <v>0</v>
      </c>
      <c r="F35" s="529">
        <v>0</v>
      </c>
      <c r="G35" s="573">
        <v>0</v>
      </c>
      <c r="H35" s="529">
        <v>0</v>
      </c>
      <c r="I35" s="529">
        <v>0</v>
      </c>
      <c r="J35" s="529">
        <v>0</v>
      </c>
      <c r="K35" s="529">
        <v>0</v>
      </c>
      <c r="L35" s="529">
        <v>0</v>
      </c>
      <c r="M35" s="529">
        <v>0</v>
      </c>
      <c r="N35" s="529">
        <v>0</v>
      </c>
      <c r="O35" s="529">
        <v>0</v>
      </c>
      <c r="P35" s="529">
        <v>0</v>
      </c>
      <c r="Q35" s="529">
        <v>0</v>
      </c>
      <c r="R35" s="530"/>
      <c r="S35" s="531">
        <v>0</v>
      </c>
      <c r="T35" s="531">
        <v>0</v>
      </c>
      <c r="U35" s="531">
        <v>0</v>
      </c>
      <c r="V35" s="531">
        <v>0</v>
      </c>
      <c r="W35" s="531">
        <v>0</v>
      </c>
      <c r="X35" s="531">
        <v>0</v>
      </c>
      <c r="AB35" s="658"/>
    </row>
    <row r="36" spans="2:31" ht="12" customHeight="1">
      <c r="B36" s="505" t="s">
        <v>518</v>
      </c>
      <c r="C36" s="148" t="s">
        <v>523</v>
      </c>
      <c r="E36" s="573">
        <v>2</v>
      </c>
      <c r="F36" s="529">
        <v>0</v>
      </c>
      <c r="G36" s="573">
        <v>0</v>
      </c>
      <c r="H36" s="529">
        <v>3</v>
      </c>
      <c r="I36" s="529">
        <v>2</v>
      </c>
      <c r="J36" s="529">
        <v>1</v>
      </c>
      <c r="K36" s="529">
        <v>0</v>
      </c>
      <c r="L36" s="529">
        <v>0</v>
      </c>
      <c r="M36" s="529">
        <v>0</v>
      </c>
      <c r="N36" s="529">
        <v>0</v>
      </c>
      <c r="O36" s="529">
        <v>0</v>
      </c>
      <c r="P36" s="529">
        <v>0</v>
      </c>
      <c r="Q36" s="529">
        <v>0</v>
      </c>
      <c r="R36" s="530"/>
      <c r="S36" s="531">
        <v>6</v>
      </c>
      <c r="T36" s="531">
        <v>0</v>
      </c>
      <c r="U36" s="531">
        <v>0</v>
      </c>
      <c r="V36" s="531">
        <v>1</v>
      </c>
      <c r="W36" s="531">
        <v>1</v>
      </c>
      <c r="X36" s="531">
        <v>2</v>
      </c>
      <c r="Z36" s="494" t="s">
        <v>900</v>
      </c>
      <c r="AB36" s="658"/>
    </row>
    <row r="37" spans="2:31" ht="12" customHeight="1">
      <c r="B37" s="505" t="s">
        <v>525</v>
      </c>
      <c r="C37" s="148" t="s">
        <v>545</v>
      </c>
      <c r="E37" s="572" t="s">
        <v>541</v>
      </c>
      <c r="F37" s="526" t="s">
        <v>541</v>
      </c>
      <c r="G37" s="572" t="s">
        <v>541</v>
      </c>
      <c r="H37" s="526" t="s">
        <v>541</v>
      </c>
      <c r="I37" s="526" t="s">
        <v>541</v>
      </c>
      <c r="J37" s="526" t="s">
        <v>541</v>
      </c>
      <c r="K37" s="526" t="s">
        <v>541</v>
      </c>
      <c r="L37" s="526" t="s">
        <v>541</v>
      </c>
      <c r="M37" s="526" t="s">
        <v>541</v>
      </c>
      <c r="N37" s="526" t="s">
        <v>541</v>
      </c>
      <c r="O37" s="526" t="s">
        <v>541</v>
      </c>
      <c r="P37" s="526" t="s">
        <v>541</v>
      </c>
      <c r="Q37" s="526" t="s">
        <v>541</v>
      </c>
      <c r="R37" s="505"/>
      <c r="S37" s="509">
        <v>47917.98129951</v>
      </c>
      <c r="T37" s="509">
        <v>29521.985634000001</v>
      </c>
      <c r="U37" s="509">
        <v>25709</v>
      </c>
      <c r="V37" s="509">
        <v>27887</v>
      </c>
      <c r="W37" s="509">
        <v>31378</v>
      </c>
      <c r="X37" s="509">
        <v>25428</v>
      </c>
      <c r="Z37" s="494" t="s">
        <v>901</v>
      </c>
      <c r="AB37" s="658"/>
    </row>
    <row r="38" spans="2:31" ht="12" customHeight="1">
      <c r="B38" s="505"/>
      <c r="C38" s="148"/>
      <c r="E38" s="654"/>
      <c r="G38" s="572"/>
      <c r="H38" s="526"/>
      <c r="I38" s="526"/>
      <c r="J38" s="526"/>
      <c r="K38" s="526"/>
      <c r="L38" s="526"/>
      <c r="M38" s="526"/>
      <c r="N38" s="526"/>
      <c r="O38" s="526"/>
      <c r="P38" s="526"/>
      <c r="Q38" s="526"/>
      <c r="R38" s="505"/>
      <c r="S38" s="509"/>
      <c r="T38" s="509"/>
      <c r="U38" s="509"/>
      <c r="V38" s="509"/>
      <c r="W38" s="509"/>
      <c r="X38" s="509"/>
    </row>
    <row r="39" spans="2:31" s="498" customFormat="1" ht="12" customHeight="1">
      <c r="B39" s="500" t="s">
        <v>507</v>
      </c>
      <c r="C39" s="499" t="s">
        <v>294</v>
      </c>
      <c r="D39" s="500"/>
      <c r="E39" s="500"/>
      <c r="F39" s="499" t="s">
        <v>921</v>
      </c>
      <c r="G39" s="566" t="str">
        <f>+G6</f>
        <v>4Q21</v>
      </c>
      <c r="H39" s="501" t="str">
        <f>+H6</f>
        <v>3Q21</v>
      </c>
      <c r="I39" s="501" t="str">
        <f>+I6</f>
        <v>2Q21</v>
      </c>
      <c r="J39" s="501" t="str">
        <f>+J6</f>
        <v>1Q21</v>
      </c>
      <c r="K39" s="501" t="str">
        <f>+K6</f>
        <v>4Q20</v>
      </c>
      <c r="L39" s="501" t="str">
        <f t="shared" ref="L39:N39" si="3">+L6</f>
        <v>3Q20</v>
      </c>
      <c r="M39" s="501" t="str">
        <f t="shared" si="3"/>
        <v>2Q20</v>
      </c>
      <c r="N39" s="501" t="str">
        <f t="shared" si="3"/>
        <v>1Q20</v>
      </c>
      <c r="O39" s="501" t="str">
        <f t="shared" ref="O39:Q39" si="4">+O6</f>
        <v>4Q19</v>
      </c>
      <c r="P39" s="501" t="str">
        <f t="shared" si="4"/>
        <v>3Q19</v>
      </c>
      <c r="Q39" s="501" t="str">
        <f t="shared" si="4"/>
        <v>2Q19</v>
      </c>
      <c r="R39" s="496"/>
      <c r="S39" s="503">
        <f t="shared" ref="S39:X39" si="5">+S6</f>
        <v>2021</v>
      </c>
      <c r="T39" s="503">
        <f t="shared" si="5"/>
        <v>2020</v>
      </c>
      <c r="U39" s="503">
        <f t="shared" si="5"/>
        <v>2019</v>
      </c>
      <c r="V39" s="503">
        <f t="shared" si="5"/>
        <v>2018</v>
      </c>
      <c r="W39" s="503">
        <f t="shared" si="5"/>
        <v>2017</v>
      </c>
      <c r="X39" s="503">
        <f t="shared" si="5"/>
        <v>2016</v>
      </c>
      <c r="Y39" s="584"/>
      <c r="Z39" s="584"/>
      <c r="AB39" s="583"/>
      <c r="AC39" s="584"/>
      <c r="AD39" s="584"/>
      <c r="AE39" s="504"/>
    </row>
    <row r="40" spans="2:31" ht="12" customHeight="1">
      <c r="B40" s="505"/>
      <c r="C40" s="148"/>
      <c r="E40" s="654"/>
      <c r="G40" s="572"/>
      <c r="H40" s="526"/>
      <c r="I40" s="526"/>
      <c r="J40" s="526"/>
      <c r="K40" s="526"/>
      <c r="L40" s="526"/>
      <c r="M40" s="526"/>
      <c r="N40" s="526"/>
      <c r="O40" s="526"/>
      <c r="P40" s="526"/>
      <c r="Q40" s="526"/>
      <c r="R40" s="505"/>
      <c r="S40" s="509"/>
      <c r="T40" s="509"/>
      <c r="U40" s="509"/>
      <c r="V40" s="509"/>
      <c r="W40" s="509"/>
      <c r="X40" s="509"/>
    </row>
    <row r="41" spans="2:31" ht="12" customHeight="1">
      <c r="B41" s="505" t="s">
        <v>542</v>
      </c>
      <c r="C41" s="148" t="s">
        <v>522</v>
      </c>
      <c r="E41" s="572" t="s">
        <v>541</v>
      </c>
      <c r="F41" s="572" t="s">
        <v>541</v>
      </c>
      <c r="G41" s="572" t="s">
        <v>541</v>
      </c>
      <c r="H41" s="526" t="s">
        <v>541</v>
      </c>
      <c r="I41" s="526" t="s">
        <v>541</v>
      </c>
      <c r="J41" s="526" t="s">
        <v>541</v>
      </c>
      <c r="K41" s="526" t="s">
        <v>541</v>
      </c>
      <c r="L41" s="526" t="s">
        <v>541</v>
      </c>
      <c r="M41" s="526" t="s">
        <v>541</v>
      </c>
      <c r="N41" s="526" t="s">
        <v>541</v>
      </c>
      <c r="O41" s="526" t="s">
        <v>541</v>
      </c>
      <c r="P41" s="526" t="s">
        <v>541</v>
      </c>
      <c r="Q41" s="526" t="s">
        <v>541</v>
      </c>
      <c r="R41" s="505"/>
      <c r="S41" s="523">
        <v>231536.83</v>
      </c>
      <c r="T41" s="523">
        <v>395987.55</v>
      </c>
      <c r="U41" s="523">
        <v>1058117</v>
      </c>
      <c r="V41" s="523">
        <v>1189569</v>
      </c>
      <c r="W41" s="523">
        <v>989342</v>
      </c>
      <c r="X41" s="523">
        <v>2542883</v>
      </c>
      <c r="Z41" s="657" t="s">
        <v>902</v>
      </c>
      <c r="AB41" s="658" t="s">
        <v>870</v>
      </c>
    </row>
    <row r="42" spans="2:31" ht="12" customHeight="1">
      <c r="B42" s="505" t="s">
        <v>526</v>
      </c>
      <c r="C42" s="148" t="s">
        <v>527</v>
      </c>
      <c r="E42" s="572" t="s">
        <v>541</v>
      </c>
      <c r="F42" s="572" t="s">
        <v>541</v>
      </c>
      <c r="G42" s="572" t="s">
        <v>541</v>
      </c>
      <c r="H42" s="526" t="s">
        <v>541</v>
      </c>
      <c r="I42" s="526" t="s">
        <v>541</v>
      </c>
      <c r="J42" s="526" t="s">
        <v>541</v>
      </c>
      <c r="K42" s="526" t="s">
        <v>541</v>
      </c>
      <c r="L42" s="526" t="s">
        <v>541</v>
      </c>
      <c r="M42" s="526" t="s">
        <v>541</v>
      </c>
      <c r="N42" s="526" t="s">
        <v>541</v>
      </c>
      <c r="O42" s="526" t="s">
        <v>541</v>
      </c>
      <c r="P42" s="526" t="s">
        <v>541</v>
      </c>
      <c r="Q42" s="526" t="s">
        <v>541</v>
      </c>
      <c r="R42" s="505"/>
      <c r="S42" s="509">
        <v>40.83643</v>
      </c>
      <c r="T42" s="509">
        <v>87.066890000000001</v>
      </c>
      <c r="U42" s="509">
        <v>188</v>
      </c>
      <c r="V42" s="509">
        <v>183</v>
      </c>
      <c r="W42" s="509">
        <v>157</v>
      </c>
      <c r="X42" s="509">
        <v>357</v>
      </c>
      <c r="Z42" s="657"/>
      <c r="AB42" s="658"/>
    </row>
    <row r="43" spans="2:31" s="520" customFormat="1" ht="12" customHeight="1">
      <c r="B43" s="562" t="s">
        <v>631</v>
      </c>
      <c r="C43" s="519" t="s">
        <v>523</v>
      </c>
      <c r="E43" s="520">
        <v>1028447</v>
      </c>
      <c r="F43" s="520">
        <v>144818</v>
      </c>
      <c r="G43" s="571">
        <v>2276714</v>
      </c>
      <c r="H43" s="521">
        <v>152357</v>
      </c>
      <c r="I43" s="521">
        <v>267143</v>
      </c>
      <c r="J43" s="521">
        <v>360000</v>
      </c>
      <c r="K43" s="521">
        <v>1403060</v>
      </c>
      <c r="L43" s="521">
        <v>35500</v>
      </c>
      <c r="M43" s="521">
        <v>6000</v>
      </c>
      <c r="N43" s="521">
        <v>0</v>
      </c>
      <c r="O43" s="521">
        <v>785391</v>
      </c>
      <c r="P43" s="521">
        <v>200000</v>
      </c>
      <c r="Q43" s="521">
        <v>673000</v>
      </c>
      <c r="R43" s="522"/>
      <c r="S43" s="531">
        <v>3056214</v>
      </c>
      <c r="T43" s="531">
        <v>1444560</v>
      </c>
      <c r="U43" s="523">
        <v>1709100</v>
      </c>
      <c r="V43" s="523">
        <v>1038611</v>
      </c>
      <c r="W43" s="523">
        <v>1023777</v>
      </c>
      <c r="X43" s="523">
        <v>562775</v>
      </c>
      <c r="Y43" s="587"/>
      <c r="Z43" s="657" t="s">
        <v>903</v>
      </c>
      <c r="AB43" s="658"/>
      <c r="AC43" s="587"/>
      <c r="AD43" s="587"/>
      <c r="AE43" s="535"/>
    </row>
    <row r="44" spans="2:31" s="520" customFormat="1" ht="12" customHeight="1">
      <c r="B44" s="522" t="s">
        <v>632</v>
      </c>
      <c r="C44" s="519" t="s">
        <v>523</v>
      </c>
      <c r="E44" s="520">
        <v>10008302</v>
      </c>
      <c r="F44" s="520">
        <v>8979855</v>
      </c>
      <c r="G44" s="571">
        <v>8835037</v>
      </c>
      <c r="H44" s="521">
        <v>6558323</v>
      </c>
      <c r="I44" s="521">
        <v>6405966</v>
      </c>
      <c r="J44" s="521">
        <v>6138823</v>
      </c>
      <c r="K44" s="521">
        <v>5778823</v>
      </c>
      <c r="L44" s="521">
        <v>4375763</v>
      </c>
      <c r="M44" s="521">
        <v>4340263</v>
      </c>
      <c r="N44" s="521">
        <v>4334263</v>
      </c>
      <c r="O44" s="521">
        <v>4334263</v>
      </c>
      <c r="P44" s="521">
        <v>3548872</v>
      </c>
      <c r="Q44" s="521">
        <v>3348872</v>
      </c>
      <c r="R44" s="522"/>
      <c r="S44" s="523">
        <v>8835037</v>
      </c>
      <c r="T44" s="523">
        <v>5778823</v>
      </c>
      <c r="U44" s="523">
        <v>4334263</v>
      </c>
      <c r="V44" s="523">
        <v>2625163</v>
      </c>
      <c r="W44" s="523">
        <v>1586552</v>
      </c>
      <c r="X44" s="523">
        <v>562775</v>
      </c>
      <c r="Y44" s="587"/>
      <c r="Z44" s="657"/>
      <c r="AB44" s="658"/>
      <c r="AC44" s="587"/>
      <c r="AD44" s="587"/>
      <c r="AE44" s="535"/>
    </row>
    <row r="45" spans="2:31" ht="12" customHeight="1">
      <c r="B45" s="536" t="s">
        <v>544</v>
      </c>
      <c r="C45" s="148"/>
      <c r="E45" s="654"/>
      <c r="G45" s="572"/>
      <c r="H45" s="526"/>
      <c r="I45" s="526"/>
      <c r="J45" s="526"/>
      <c r="K45" s="526"/>
      <c r="L45" s="526"/>
      <c r="M45" s="526"/>
      <c r="N45" s="526"/>
      <c r="O45" s="526"/>
      <c r="P45" s="526"/>
      <c r="Q45" s="526"/>
      <c r="R45" s="505"/>
      <c r="S45" s="509"/>
      <c r="T45" s="509"/>
      <c r="U45" s="509"/>
      <c r="V45" s="509"/>
      <c r="W45" s="509"/>
      <c r="X45" s="509"/>
      <c r="Z45" s="657" t="s">
        <v>904</v>
      </c>
      <c r="AB45" s="190"/>
    </row>
    <row r="46" spans="2:31" ht="12" customHeight="1">
      <c r="B46" s="511" t="s">
        <v>488</v>
      </c>
      <c r="C46" s="148" t="s">
        <v>570</v>
      </c>
      <c r="E46" s="572" t="s">
        <v>541</v>
      </c>
      <c r="F46" s="572" t="s">
        <v>541</v>
      </c>
      <c r="G46" s="572" t="s">
        <v>541</v>
      </c>
      <c r="H46" s="526" t="s">
        <v>541</v>
      </c>
      <c r="I46" s="526" t="s">
        <v>541</v>
      </c>
      <c r="J46" s="526" t="s">
        <v>541</v>
      </c>
      <c r="K46" s="526" t="s">
        <v>541</v>
      </c>
      <c r="L46" s="526" t="s">
        <v>541</v>
      </c>
      <c r="M46" s="526" t="s">
        <v>541</v>
      </c>
      <c r="N46" s="526" t="s">
        <v>541</v>
      </c>
      <c r="O46" s="526" t="s">
        <v>541</v>
      </c>
      <c r="P46" s="526" t="s">
        <v>541</v>
      </c>
      <c r="Q46" s="526" t="s">
        <v>541</v>
      </c>
      <c r="R46" s="505"/>
      <c r="S46" s="509">
        <v>0</v>
      </c>
      <c r="T46" s="509">
        <v>96.632999999999996</v>
      </c>
      <c r="U46" s="509">
        <v>248216.4</v>
      </c>
      <c r="V46" s="509">
        <v>179974</v>
      </c>
      <c r="W46" s="509">
        <v>91585.48</v>
      </c>
      <c r="X46" s="509">
        <v>344364</v>
      </c>
      <c r="Z46" s="657"/>
      <c r="AB46" s="190"/>
    </row>
    <row r="47" spans="2:31" ht="12" customHeight="1">
      <c r="B47" s="511" t="s">
        <v>567</v>
      </c>
      <c r="C47" s="148" t="s">
        <v>571</v>
      </c>
      <c r="E47" s="572" t="s">
        <v>541</v>
      </c>
      <c r="F47" s="572" t="s">
        <v>541</v>
      </c>
      <c r="G47" s="572" t="s">
        <v>541</v>
      </c>
      <c r="H47" s="526" t="s">
        <v>541</v>
      </c>
      <c r="I47" s="526" t="s">
        <v>541</v>
      </c>
      <c r="J47" s="526" t="s">
        <v>541</v>
      </c>
      <c r="K47" s="526" t="s">
        <v>541</v>
      </c>
      <c r="L47" s="526" t="s">
        <v>541</v>
      </c>
      <c r="M47" s="526" t="s">
        <v>541</v>
      </c>
      <c r="N47" s="526" t="s">
        <v>541</v>
      </c>
      <c r="O47" s="526" t="s">
        <v>541</v>
      </c>
      <c r="P47" s="526" t="s">
        <v>541</v>
      </c>
      <c r="Q47" s="526" t="s">
        <v>541</v>
      </c>
      <c r="R47" s="505"/>
      <c r="S47" s="531">
        <v>11402428.720000001</v>
      </c>
      <c r="T47" s="531">
        <v>17769106.920000002</v>
      </c>
      <c r="U47" s="509">
        <v>98336287.299999997</v>
      </c>
      <c r="V47" s="509">
        <v>237400397</v>
      </c>
      <c r="W47" s="509">
        <v>255581088.83000001</v>
      </c>
      <c r="X47" s="509">
        <v>449551738.13999999</v>
      </c>
      <c r="Z47" s="657"/>
      <c r="AB47" s="190"/>
    </row>
    <row r="48" spans="2:31" ht="12" customHeight="1">
      <c r="B48" s="511" t="s">
        <v>568</v>
      </c>
      <c r="C48" s="148" t="s">
        <v>571</v>
      </c>
      <c r="E48" s="572" t="s">
        <v>541</v>
      </c>
      <c r="F48" s="572" t="s">
        <v>541</v>
      </c>
      <c r="G48" s="572" t="s">
        <v>541</v>
      </c>
      <c r="H48" s="526" t="s">
        <v>541</v>
      </c>
      <c r="I48" s="526" t="s">
        <v>541</v>
      </c>
      <c r="J48" s="526" t="s">
        <v>541</v>
      </c>
      <c r="K48" s="526" t="s">
        <v>541</v>
      </c>
      <c r="L48" s="526" t="s">
        <v>541</v>
      </c>
      <c r="M48" s="526" t="s">
        <v>541</v>
      </c>
      <c r="N48" s="526" t="s">
        <v>541</v>
      </c>
      <c r="O48" s="526" t="s">
        <v>541</v>
      </c>
      <c r="P48" s="526" t="s">
        <v>541</v>
      </c>
      <c r="Q48" s="526" t="s">
        <v>541</v>
      </c>
      <c r="R48" s="505"/>
      <c r="S48" s="509">
        <v>0</v>
      </c>
      <c r="T48" s="509">
        <v>0</v>
      </c>
      <c r="U48" s="509">
        <v>71352483</v>
      </c>
      <c r="V48" s="509">
        <v>102213921</v>
      </c>
      <c r="W48" s="509">
        <v>5646664</v>
      </c>
      <c r="X48" s="509" t="s">
        <v>563</v>
      </c>
      <c r="Z48" s="657"/>
      <c r="AB48" s="190"/>
    </row>
    <row r="49" spans="2:28" ht="12" customHeight="1">
      <c r="B49" s="511" t="s">
        <v>569</v>
      </c>
      <c r="C49" s="148" t="s">
        <v>572</v>
      </c>
      <c r="E49" s="572" t="s">
        <v>541</v>
      </c>
      <c r="F49" s="572" t="s">
        <v>541</v>
      </c>
      <c r="G49" s="572" t="s">
        <v>541</v>
      </c>
      <c r="H49" s="526">
        <v>699693.53999999992</v>
      </c>
      <c r="I49" s="526" t="s">
        <v>541</v>
      </c>
      <c r="J49" s="526" t="s">
        <v>541</v>
      </c>
      <c r="K49" s="526" t="s">
        <v>541</v>
      </c>
      <c r="L49" s="526" t="s">
        <v>541</v>
      </c>
      <c r="M49" s="526" t="s">
        <v>541</v>
      </c>
      <c r="N49" s="526" t="s">
        <v>541</v>
      </c>
      <c r="O49" s="526" t="s">
        <v>541</v>
      </c>
      <c r="P49" s="526" t="s">
        <v>541</v>
      </c>
      <c r="Q49" s="526" t="s">
        <v>541</v>
      </c>
      <c r="R49" s="505"/>
      <c r="S49" s="509">
        <v>3916004.82</v>
      </c>
      <c r="T49" s="509">
        <v>1139.8499999999999</v>
      </c>
      <c r="U49" s="509">
        <v>4595348.45</v>
      </c>
      <c r="V49" s="509">
        <v>4427342.3600000003</v>
      </c>
      <c r="W49" s="509">
        <v>17281495.539999999</v>
      </c>
      <c r="X49" s="509">
        <v>16487429.380000001</v>
      </c>
      <c r="Z49" s="657"/>
      <c r="AB49" s="190"/>
    </row>
    <row r="50" spans="2:28" ht="12" customHeight="1">
      <c r="B50" s="511" t="s">
        <v>429</v>
      </c>
      <c r="C50" s="148" t="s">
        <v>572</v>
      </c>
      <c r="E50" s="572" t="s">
        <v>541</v>
      </c>
      <c r="F50" s="572" t="s">
        <v>541</v>
      </c>
      <c r="G50" s="572" t="s">
        <v>541</v>
      </c>
      <c r="H50" s="526">
        <v>232399.44</v>
      </c>
      <c r="I50" s="526" t="s">
        <v>541</v>
      </c>
      <c r="J50" s="526" t="s">
        <v>541</v>
      </c>
      <c r="K50" s="526" t="s">
        <v>541</v>
      </c>
      <c r="L50" s="526" t="s">
        <v>541</v>
      </c>
      <c r="M50" s="526" t="s">
        <v>541</v>
      </c>
      <c r="N50" s="526" t="s">
        <v>541</v>
      </c>
      <c r="O50" s="526" t="s">
        <v>541</v>
      </c>
      <c r="P50" s="526" t="s">
        <v>541</v>
      </c>
      <c r="Q50" s="526" t="s">
        <v>541</v>
      </c>
      <c r="R50" s="505"/>
      <c r="S50" s="509">
        <v>1138890.8500000001</v>
      </c>
      <c r="T50" s="509">
        <v>323962.18</v>
      </c>
      <c r="U50" s="509">
        <v>1318047.83</v>
      </c>
      <c r="V50" s="509">
        <v>1095675.8700000001</v>
      </c>
      <c r="W50" s="509">
        <v>2719532.3</v>
      </c>
      <c r="X50" s="509">
        <v>51441663.780000001</v>
      </c>
      <c r="Z50" s="657"/>
      <c r="AB50" s="190"/>
    </row>
    <row r="51" spans="2:28" ht="12" customHeight="1">
      <c r="B51" s="505" t="s">
        <v>543</v>
      </c>
      <c r="C51" s="148" t="s">
        <v>528</v>
      </c>
      <c r="E51" s="572" t="s">
        <v>541</v>
      </c>
      <c r="F51" s="572" t="s">
        <v>541</v>
      </c>
      <c r="G51" s="572" t="s">
        <v>541</v>
      </c>
      <c r="H51" s="526" t="s">
        <v>541</v>
      </c>
      <c r="I51" s="526" t="s">
        <v>541</v>
      </c>
      <c r="J51" s="526" t="s">
        <v>541</v>
      </c>
      <c r="K51" s="526" t="s">
        <v>541</v>
      </c>
      <c r="L51" s="526" t="s">
        <v>541</v>
      </c>
      <c r="M51" s="526" t="s">
        <v>541</v>
      </c>
      <c r="N51" s="526" t="s">
        <v>541</v>
      </c>
      <c r="O51" s="526" t="s">
        <v>541</v>
      </c>
      <c r="P51" s="526" t="s">
        <v>541</v>
      </c>
      <c r="Q51" s="526" t="s">
        <v>541</v>
      </c>
      <c r="R51" s="505"/>
      <c r="S51" s="509">
        <v>212</v>
      </c>
      <c r="T51" s="509">
        <v>0</v>
      </c>
      <c r="U51" s="509">
        <v>620982</v>
      </c>
      <c r="V51" s="509" t="s">
        <v>159</v>
      </c>
      <c r="W51" s="509" t="s">
        <v>159</v>
      </c>
      <c r="X51" s="509" t="s">
        <v>159</v>
      </c>
      <c r="Z51" s="658" t="s">
        <v>909</v>
      </c>
    </row>
    <row r="52" spans="2:28" ht="12" customHeight="1">
      <c r="B52" s="505" t="s">
        <v>543</v>
      </c>
      <c r="C52" s="148" t="s">
        <v>545</v>
      </c>
      <c r="E52" s="572" t="s">
        <v>541</v>
      </c>
      <c r="F52" s="572" t="s">
        <v>541</v>
      </c>
      <c r="G52" s="572" t="s">
        <v>541</v>
      </c>
      <c r="H52" s="526" t="s">
        <v>541</v>
      </c>
      <c r="I52" s="526" t="s">
        <v>541</v>
      </c>
      <c r="J52" s="526" t="s">
        <v>541</v>
      </c>
      <c r="K52" s="526" t="s">
        <v>541</v>
      </c>
      <c r="L52" s="526" t="s">
        <v>541</v>
      </c>
      <c r="M52" s="526" t="s">
        <v>541</v>
      </c>
      <c r="N52" s="526" t="s">
        <v>541</v>
      </c>
      <c r="O52" s="526" t="s">
        <v>541</v>
      </c>
      <c r="P52" s="526" t="s">
        <v>541</v>
      </c>
      <c r="Q52" s="526" t="s">
        <v>541</v>
      </c>
      <c r="R52" s="505"/>
      <c r="S52" s="509">
        <v>3.5</v>
      </c>
      <c r="T52" s="509">
        <v>0</v>
      </c>
      <c r="U52" s="509">
        <v>7954</v>
      </c>
      <c r="V52" s="509" t="s">
        <v>159</v>
      </c>
      <c r="W52" s="509" t="s">
        <v>159</v>
      </c>
      <c r="X52" s="509" t="s">
        <v>159</v>
      </c>
      <c r="Z52" s="658"/>
    </row>
    <row r="54" spans="2:28" ht="12" customHeight="1">
      <c r="B54" s="492" t="s">
        <v>564</v>
      </c>
    </row>
    <row r="56" spans="2:28" ht="12" customHeight="1">
      <c r="B56" s="537" t="s">
        <v>554</v>
      </c>
      <c r="C56" s="538"/>
      <c r="D56" s="539"/>
      <c r="E56" s="539"/>
      <c r="F56" s="539"/>
      <c r="G56" s="575"/>
      <c r="H56" s="540"/>
      <c r="I56" s="540"/>
      <c r="J56" s="540"/>
      <c r="K56" s="540"/>
      <c r="L56" s="540"/>
      <c r="M56" s="540"/>
      <c r="N56" s="540"/>
      <c r="O56" s="540"/>
      <c r="P56" s="540"/>
      <c r="Q56" s="540"/>
      <c r="R56" s="541"/>
      <c r="S56" s="542"/>
      <c r="T56" s="542"/>
      <c r="U56" s="542"/>
      <c r="V56" s="542"/>
      <c r="W56" s="542"/>
      <c r="X56" s="542"/>
    </row>
    <row r="57" spans="2:28" ht="12" customHeight="1">
      <c r="B57" s="492" t="s">
        <v>553</v>
      </c>
    </row>
    <row r="58" spans="2:28" ht="12" customHeight="1">
      <c r="B58" s="494" t="s">
        <v>699</v>
      </c>
      <c r="C58" s="95" t="s">
        <v>690</v>
      </c>
    </row>
    <row r="59" spans="2:28" ht="12" customHeight="1">
      <c r="B59" s="494" t="s">
        <v>565</v>
      </c>
      <c r="C59" s="95" t="s">
        <v>691</v>
      </c>
    </row>
    <row r="60" spans="2:28" ht="12" customHeight="1">
      <c r="B60" s="494" t="s">
        <v>551</v>
      </c>
      <c r="C60" s="95" t="s">
        <v>905</v>
      </c>
    </row>
    <row r="61" spans="2:28" ht="12" customHeight="1">
      <c r="B61" s="494" t="s">
        <v>693</v>
      </c>
      <c r="C61" s="95" t="s">
        <v>692</v>
      </c>
    </row>
    <row r="62" spans="2:28" ht="12" customHeight="1">
      <c r="B62" s="494" t="s">
        <v>698</v>
      </c>
      <c r="C62" s="95" t="s">
        <v>906</v>
      </c>
    </row>
    <row r="63" spans="2:28" ht="12" customHeight="1">
      <c r="C63" s="543"/>
    </row>
    <row r="64" spans="2:28" ht="12" customHeight="1">
      <c r="C64" s="543"/>
    </row>
  </sheetData>
  <mergeCells count="9">
    <mergeCell ref="Z43:Z44"/>
    <mergeCell ref="Z45:Z50"/>
    <mergeCell ref="Z51:Z52"/>
    <mergeCell ref="AB41:AB44"/>
    <mergeCell ref="AB8:AB23"/>
    <mergeCell ref="AB27:AB37"/>
    <mergeCell ref="Z9:Z13"/>
    <mergeCell ref="Z20:Z22"/>
    <mergeCell ref="Z41:Z42"/>
  </mergeCells>
  <phoneticPr fontId="14" type="noConversion"/>
  <hyperlinks>
    <hyperlink ref="C60" r:id="rId1" xr:uid="{60B957AA-FC21-4E13-87D8-3E1006365341}"/>
    <hyperlink ref="C61" r:id="rId2" xr:uid="{B4695147-0F80-452A-B242-D487F654F49A}"/>
    <hyperlink ref="C62" r:id="rId3" xr:uid="{503C4008-EC6B-4417-AE0F-5C90A86F1FB7}"/>
    <hyperlink ref="C59" r:id="rId4" xr:uid="{9F38389B-CA21-4BFC-80EC-A13B87EA17DB}"/>
    <hyperlink ref="C58" r:id="rId5" xr:uid="{75F44770-8C93-4C98-8FE7-61F871353AD7}"/>
  </hyperlinks>
  <pageMargins left="0.7" right="0.7" top="0.75" bottom="0.75" header="0.3" footer="0.3"/>
  <pageSetup orientation="portrait" r:id="rId6"/>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L119"/>
  <sheetViews>
    <sheetView showGridLines="0" zoomScale="85" zoomScaleNormal="85" workbookViewId="0">
      <pane xSplit="2" ySplit="2" topLeftCell="C3" activePane="bottomRight" state="frozen"/>
      <selection activeCell="U8" sqref="U8"/>
      <selection pane="topRight" activeCell="U8" sqref="U8"/>
      <selection pane="bottomLeft" activeCell="U8" sqref="U8"/>
      <selection pane="bottomRight" activeCell="B5" sqref="B5"/>
    </sheetView>
  </sheetViews>
  <sheetFormatPr baseColWidth="10" defaultRowHeight="14.1" customHeight="1"/>
  <cols>
    <col min="1" max="1" width="4.7109375" style="92" customWidth="1"/>
    <col min="2" max="2" width="46.7109375" style="92" customWidth="1"/>
    <col min="3" max="3" width="13.85546875" style="92" bestFit="1" customWidth="1"/>
    <col min="4" max="4" width="33.42578125" style="165" customWidth="1"/>
    <col min="5" max="5" width="22.7109375" style="92" customWidth="1"/>
    <col min="6" max="6" width="22.7109375" style="109" customWidth="1"/>
    <col min="7" max="7" width="22.7109375" style="92" customWidth="1"/>
    <col min="8" max="8" width="11.7109375" style="92" bestFit="1" customWidth="1"/>
    <col min="9" max="10" width="15.5703125" style="92" customWidth="1"/>
    <col min="11" max="16384" width="11.42578125" style="92"/>
  </cols>
  <sheetData>
    <row r="2" spans="2:10" ht="14.1" customHeight="1">
      <c r="B2" s="13" t="s">
        <v>529</v>
      </c>
      <c r="D2" s="184"/>
    </row>
    <row r="4" spans="2:10" ht="14.1" customHeight="1" thickBot="1">
      <c r="B4" s="83" t="s">
        <v>176</v>
      </c>
      <c r="C4" s="110"/>
      <c r="D4" s="166"/>
      <c r="E4" s="110"/>
      <c r="F4" s="111"/>
      <c r="G4" s="110"/>
      <c r="H4" s="110"/>
      <c r="I4" s="110"/>
      <c r="J4" s="110"/>
    </row>
    <row r="5" spans="2:10" ht="14.1" customHeight="1" thickTop="1"/>
    <row r="6" spans="2:10" s="104" customFormat="1" ht="14.1" customHeight="1">
      <c r="B6" s="273" t="s">
        <v>416</v>
      </c>
      <c r="C6" s="274" t="s">
        <v>417</v>
      </c>
      <c r="D6" s="275" t="s">
        <v>162</v>
      </c>
      <c r="E6" s="274" t="s">
        <v>163</v>
      </c>
      <c r="F6" s="274" t="s">
        <v>421</v>
      </c>
      <c r="G6" s="276" t="s">
        <v>418</v>
      </c>
      <c r="H6" s="277" t="s">
        <v>419</v>
      </c>
      <c r="I6" s="274" t="s">
        <v>420</v>
      </c>
      <c r="J6" s="274" t="s">
        <v>653</v>
      </c>
    </row>
    <row r="7" spans="2:10" ht="14.1" customHeight="1">
      <c r="B7" s="278" t="s">
        <v>164</v>
      </c>
      <c r="C7" s="279" t="s">
        <v>422</v>
      </c>
      <c r="D7" s="280" t="s">
        <v>165</v>
      </c>
      <c r="E7" s="279" t="s">
        <v>487</v>
      </c>
      <c r="F7" s="281" t="s">
        <v>486</v>
      </c>
      <c r="G7" s="247">
        <v>167</v>
      </c>
      <c r="H7" s="282" t="s">
        <v>292</v>
      </c>
      <c r="I7" s="283" t="s">
        <v>160</v>
      </c>
      <c r="J7" s="283"/>
    </row>
    <row r="8" spans="2:10" ht="14.1" customHeight="1">
      <c r="B8" s="278" t="s">
        <v>712</v>
      </c>
      <c r="C8" s="279" t="s">
        <v>422</v>
      </c>
      <c r="D8" s="280" t="s">
        <v>469</v>
      </c>
      <c r="E8" s="279" t="s">
        <v>423</v>
      </c>
      <c r="F8" s="281" t="s">
        <v>424</v>
      </c>
      <c r="G8" s="247">
        <v>19.899999999999999</v>
      </c>
      <c r="H8" s="282" t="s">
        <v>292</v>
      </c>
      <c r="I8" s="283">
        <v>0.82</v>
      </c>
      <c r="J8" s="283"/>
    </row>
    <row r="9" spans="2:10" ht="14.1" customHeight="1">
      <c r="B9" s="278" t="s">
        <v>166</v>
      </c>
      <c r="C9" s="279" t="s">
        <v>422</v>
      </c>
      <c r="D9" s="280" t="s">
        <v>469</v>
      </c>
      <c r="E9" s="279" t="s">
        <v>423</v>
      </c>
      <c r="F9" s="281" t="s">
        <v>425</v>
      </c>
      <c r="G9" s="247">
        <v>355</v>
      </c>
      <c r="H9" s="282" t="s">
        <v>292</v>
      </c>
      <c r="I9" s="283">
        <v>0.41449999999999998</v>
      </c>
      <c r="J9" s="283"/>
    </row>
    <row r="10" spans="2:10" ht="14.1" customHeight="1">
      <c r="B10" s="278" t="s">
        <v>167</v>
      </c>
      <c r="C10" s="279" t="s">
        <v>422</v>
      </c>
      <c r="D10" s="280" t="s">
        <v>469</v>
      </c>
      <c r="E10" s="279" t="s">
        <v>423</v>
      </c>
      <c r="F10" s="281" t="s">
        <v>425</v>
      </c>
      <c r="G10" s="247">
        <v>74</v>
      </c>
      <c r="H10" s="282" t="s">
        <v>292</v>
      </c>
      <c r="I10" s="283">
        <v>0.4194</v>
      </c>
      <c r="J10" s="283"/>
    </row>
    <row r="11" spans="2:10" ht="14.1" customHeight="1">
      <c r="B11" s="278" t="s">
        <v>168</v>
      </c>
      <c r="C11" s="279" t="s">
        <v>422</v>
      </c>
      <c r="D11" s="280" t="s">
        <v>469</v>
      </c>
      <c r="E11" s="279" t="s">
        <v>423</v>
      </c>
      <c r="F11" s="281" t="s">
        <v>425</v>
      </c>
      <c r="G11" s="247">
        <v>315</v>
      </c>
      <c r="H11" s="282" t="s">
        <v>292</v>
      </c>
      <c r="I11" s="283">
        <v>0.3962</v>
      </c>
      <c r="J11" s="283"/>
    </row>
    <row r="12" spans="2:10" ht="14.1" customHeight="1">
      <c r="B12" s="278" t="s">
        <v>169</v>
      </c>
      <c r="C12" s="279" t="s">
        <v>422</v>
      </c>
      <c r="D12" s="280" t="s">
        <v>469</v>
      </c>
      <c r="E12" s="279" t="s">
        <v>423</v>
      </c>
      <c r="F12" s="281" t="s">
        <v>425</v>
      </c>
      <c r="G12" s="247">
        <v>132</v>
      </c>
      <c r="H12" s="282" t="s">
        <v>292</v>
      </c>
      <c r="I12" s="283">
        <v>0.1825</v>
      </c>
      <c r="J12" s="283"/>
    </row>
    <row r="13" spans="2:10" ht="14.1" customHeight="1">
      <c r="B13" s="278" t="s">
        <v>170</v>
      </c>
      <c r="C13" s="279" t="s">
        <v>422</v>
      </c>
      <c r="D13" s="280" t="s">
        <v>469</v>
      </c>
      <c r="E13" s="279" t="s">
        <v>423</v>
      </c>
      <c r="F13" s="281" t="s">
        <v>425</v>
      </c>
      <c r="G13" s="247">
        <f>51+5</f>
        <v>56</v>
      </c>
      <c r="H13" s="282" t="s">
        <v>292</v>
      </c>
      <c r="I13" s="283">
        <v>0.41399999999999998</v>
      </c>
      <c r="J13" s="283"/>
    </row>
    <row r="14" spans="2:10" ht="14.1" customHeight="1">
      <c r="B14" s="284" t="s">
        <v>711</v>
      </c>
      <c r="C14" s="279" t="s">
        <v>422</v>
      </c>
      <c r="D14" s="285" t="s">
        <v>172</v>
      </c>
      <c r="E14" s="279" t="s">
        <v>423</v>
      </c>
      <c r="F14" s="281" t="s">
        <v>424</v>
      </c>
      <c r="G14" s="286">
        <v>1.67</v>
      </c>
      <c r="H14" s="282" t="s">
        <v>292</v>
      </c>
      <c r="I14" s="287">
        <v>0.47760000000000002</v>
      </c>
      <c r="J14" s="287"/>
    </row>
    <row r="15" spans="2:10" ht="14.1" customHeight="1">
      <c r="B15" s="284" t="s">
        <v>710</v>
      </c>
      <c r="C15" s="279" t="s">
        <v>422</v>
      </c>
      <c r="D15" s="285" t="s">
        <v>172</v>
      </c>
      <c r="E15" s="279" t="s">
        <v>423</v>
      </c>
      <c r="F15" s="281" t="s">
        <v>424</v>
      </c>
      <c r="G15" s="260">
        <v>10</v>
      </c>
      <c r="H15" s="282" t="s">
        <v>292</v>
      </c>
      <c r="I15" s="288"/>
      <c r="J15" s="288"/>
    </row>
    <row r="16" spans="2:10" ht="14.1" customHeight="1">
      <c r="B16" s="278" t="s">
        <v>709</v>
      </c>
      <c r="C16" s="279" t="s">
        <v>422</v>
      </c>
      <c r="D16" s="285" t="s">
        <v>469</v>
      </c>
      <c r="E16" s="279" t="s">
        <v>423</v>
      </c>
      <c r="F16" s="281" t="s">
        <v>424</v>
      </c>
      <c r="G16" s="286">
        <v>6.7</v>
      </c>
      <c r="H16" s="282" t="s">
        <v>292</v>
      </c>
      <c r="I16" s="287">
        <v>0.49819999999999998</v>
      </c>
      <c r="J16" s="287"/>
    </row>
    <row r="17" spans="2:10" ht="14.1" customHeight="1">
      <c r="B17" s="278" t="s">
        <v>708</v>
      </c>
      <c r="C17" s="279" t="s">
        <v>422</v>
      </c>
      <c r="D17" s="285" t="s">
        <v>469</v>
      </c>
      <c r="E17" s="279" t="s">
        <v>423</v>
      </c>
      <c r="F17" s="281" t="s">
        <v>424</v>
      </c>
      <c r="G17" s="260"/>
      <c r="H17" s="282" t="s">
        <v>292</v>
      </c>
      <c r="I17" s="288"/>
      <c r="J17" s="288"/>
    </row>
    <row r="18" spans="2:10" s="173" customFormat="1" ht="12.75" customHeight="1">
      <c r="B18" s="278" t="s">
        <v>707</v>
      </c>
      <c r="C18" s="279" t="s">
        <v>422</v>
      </c>
      <c r="D18" s="280" t="s">
        <v>172</v>
      </c>
      <c r="E18" s="279" t="s">
        <v>423</v>
      </c>
      <c r="F18" s="281" t="s">
        <v>424</v>
      </c>
      <c r="G18" s="247">
        <v>2.5</v>
      </c>
      <c r="H18" s="282" t="s">
        <v>292</v>
      </c>
      <c r="I18" s="283">
        <v>0.62580000000000002</v>
      </c>
      <c r="J18" s="283"/>
    </row>
    <row r="19" spans="2:10" s="173" customFormat="1" ht="12.75" customHeight="1">
      <c r="B19" s="278" t="s">
        <v>706</v>
      </c>
      <c r="C19" s="279" t="s">
        <v>422</v>
      </c>
      <c r="D19" s="285" t="s">
        <v>469</v>
      </c>
      <c r="E19" s="279" t="s">
        <v>423</v>
      </c>
      <c r="F19" s="281" t="s">
        <v>424</v>
      </c>
      <c r="G19" s="286">
        <v>1.8</v>
      </c>
      <c r="H19" s="282" t="s">
        <v>292</v>
      </c>
      <c r="I19" s="287">
        <v>0.68740000000000001</v>
      </c>
      <c r="J19" s="287"/>
    </row>
    <row r="20" spans="2:10" s="173" customFormat="1" ht="12.75" customHeight="1">
      <c r="B20" s="278" t="s">
        <v>705</v>
      </c>
      <c r="C20" s="279" t="s">
        <v>422</v>
      </c>
      <c r="D20" s="285" t="s">
        <v>469</v>
      </c>
      <c r="E20" s="279" t="s">
        <v>423</v>
      </c>
      <c r="F20" s="281" t="s">
        <v>424</v>
      </c>
      <c r="G20" s="260"/>
      <c r="H20" s="282" t="s">
        <v>292</v>
      </c>
      <c r="I20" s="288"/>
      <c r="J20" s="288"/>
    </row>
    <row r="21" spans="2:10" s="173" customFormat="1" ht="12.75" customHeight="1">
      <c r="B21" s="278" t="s">
        <v>704</v>
      </c>
      <c r="C21" s="279" t="s">
        <v>422</v>
      </c>
      <c r="D21" s="289" t="s">
        <v>469</v>
      </c>
      <c r="E21" s="279" t="s">
        <v>423</v>
      </c>
      <c r="F21" s="281" t="s">
        <v>424</v>
      </c>
      <c r="G21" s="286">
        <v>19.170000000000002</v>
      </c>
      <c r="H21" s="282" t="s">
        <v>292</v>
      </c>
      <c r="I21" s="287">
        <v>0.3049</v>
      </c>
      <c r="J21" s="287"/>
    </row>
    <row r="22" spans="2:10" s="173" customFormat="1" ht="12.75" customHeight="1">
      <c r="B22" s="278" t="s">
        <v>703</v>
      </c>
      <c r="C22" s="279" t="s">
        <v>422</v>
      </c>
      <c r="D22" s="280" t="s">
        <v>469</v>
      </c>
      <c r="E22" s="279" t="s">
        <v>423</v>
      </c>
      <c r="F22" s="281" t="s">
        <v>424</v>
      </c>
      <c r="G22" s="247">
        <v>19.899999999999999</v>
      </c>
      <c r="H22" s="282" t="s">
        <v>292</v>
      </c>
      <c r="I22" s="283">
        <v>0.95</v>
      </c>
      <c r="J22" s="283"/>
    </row>
    <row r="23" spans="2:10" s="173" customFormat="1" ht="12.75" customHeight="1">
      <c r="B23" s="278" t="s">
        <v>702</v>
      </c>
      <c r="C23" s="279" t="s">
        <v>422</v>
      </c>
      <c r="D23" s="280" t="s">
        <v>469</v>
      </c>
      <c r="E23" s="279" t="s">
        <v>423</v>
      </c>
      <c r="F23" s="281" t="s">
        <v>424</v>
      </c>
      <c r="G23" s="247">
        <v>19.899999999999999</v>
      </c>
      <c r="H23" s="282" t="s">
        <v>292</v>
      </c>
      <c r="I23" s="283">
        <v>0.65</v>
      </c>
      <c r="J23" s="283"/>
    </row>
    <row r="24" spans="2:10" s="173" customFormat="1" ht="12.75" customHeight="1">
      <c r="B24" s="278" t="s">
        <v>701</v>
      </c>
      <c r="C24" s="279" t="s">
        <v>422</v>
      </c>
      <c r="D24" s="280" t="s">
        <v>469</v>
      </c>
      <c r="E24" s="279" t="s">
        <v>423</v>
      </c>
      <c r="F24" s="281" t="s">
        <v>424</v>
      </c>
      <c r="G24" s="247">
        <v>19.899999999999999</v>
      </c>
      <c r="H24" s="282" t="s">
        <v>292</v>
      </c>
      <c r="I24" s="283">
        <v>0.66</v>
      </c>
      <c r="J24" s="283"/>
    </row>
    <row r="25" spans="2:10" s="173" customFormat="1" ht="12.75" customHeight="1">
      <c r="B25" s="278" t="s">
        <v>171</v>
      </c>
      <c r="C25" s="279" t="s">
        <v>422</v>
      </c>
      <c r="D25" s="280" t="s">
        <v>469</v>
      </c>
      <c r="E25" s="279" t="s">
        <v>423</v>
      </c>
      <c r="F25" s="281" t="s">
        <v>425</v>
      </c>
      <c r="G25" s="247">
        <v>55.98</v>
      </c>
      <c r="H25" s="282" t="s">
        <v>292</v>
      </c>
      <c r="I25" s="283">
        <v>0.49</v>
      </c>
      <c r="J25" s="283"/>
    </row>
    <row r="26" spans="2:10" s="173" customFormat="1" ht="12.75" customHeight="1">
      <c r="B26" s="278" t="s">
        <v>700</v>
      </c>
      <c r="C26" s="279" t="s">
        <v>422</v>
      </c>
      <c r="D26" s="280" t="s">
        <v>469</v>
      </c>
      <c r="E26" s="279" t="s">
        <v>423</v>
      </c>
      <c r="F26" s="281" t="s">
        <v>424</v>
      </c>
      <c r="G26" s="247">
        <v>19.899999999999999</v>
      </c>
      <c r="H26" s="282" t="s">
        <v>292</v>
      </c>
      <c r="I26" s="283"/>
      <c r="J26" s="283" t="s">
        <v>714</v>
      </c>
    </row>
    <row r="27" spans="2:10" s="173" customFormat="1" ht="12.75" customHeight="1">
      <c r="B27" s="284" t="s">
        <v>590</v>
      </c>
      <c r="C27" s="279" t="s">
        <v>426</v>
      </c>
      <c r="D27" s="289" t="s">
        <v>173</v>
      </c>
      <c r="E27" s="279" t="s">
        <v>423</v>
      </c>
      <c r="F27" s="281" t="s">
        <v>425</v>
      </c>
      <c r="G27" s="290">
        <v>33.799999999999997</v>
      </c>
      <c r="H27" s="282" t="s">
        <v>292</v>
      </c>
      <c r="I27" s="287">
        <v>0.5</v>
      </c>
      <c r="J27" s="287"/>
    </row>
    <row r="28" spans="2:10" s="173" customFormat="1" ht="12.75" customHeight="1">
      <c r="B28" s="284" t="s">
        <v>591</v>
      </c>
      <c r="C28" s="279" t="s">
        <v>426</v>
      </c>
      <c r="D28" s="289" t="s">
        <v>173</v>
      </c>
      <c r="E28" s="279" t="s">
        <v>423</v>
      </c>
      <c r="F28" s="281" t="s">
        <v>425</v>
      </c>
      <c r="G28" s="291">
        <v>58.7</v>
      </c>
      <c r="H28" s="282" t="s">
        <v>292</v>
      </c>
      <c r="I28" s="292"/>
      <c r="J28" s="292"/>
    </row>
    <row r="29" spans="2:10" s="173" customFormat="1" ht="12.75" customHeight="1">
      <c r="B29" s="284" t="s">
        <v>592</v>
      </c>
      <c r="C29" s="279" t="s">
        <v>426</v>
      </c>
      <c r="D29" s="289" t="s">
        <v>414</v>
      </c>
      <c r="E29" s="279" t="s">
        <v>423</v>
      </c>
      <c r="F29" s="281" t="s">
        <v>425</v>
      </c>
      <c r="G29" s="293">
        <v>25.8</v>
      </c>
      <c r="H29" s="282" t="s">
        <v>292</v>
      </c>
      <c r="I29" s="288"/>
      <c r="J29" s="288"/>
    </row>
    <row r="30" spans="2:10" s="35" customFormat="1" ht="12.75" customHeight="1">
      <c r="B30" s="278" t="s">
        <v>683</v>
      </c>
      <c r="C30" s="279" t="s">
        <v>426</v>
      </c>
      <c r="D30" s="280" t="s">
        <v>677</v>
      </c>
      <c r="E30" s="279" t="s">
        <v>487</v>
      </c>
      <c r="F30" s="281" t="s">
        <v>429</v>
      </c>
      <c r="G30" s="286">
        <v>102.2</v>
      </c>
      <c r="H30" s="282" t="s">
        <v>292</v>
      </c>
      <c r="I30" s="283" t="s">
        <v>160</v>
      </c>
      <c r="J30" s="283"/>
    </row>
    <row r="31" spans="2:10" s="35" customFormat="1" ht="12.75" customHeight="1">
      <c r="B31" s="278" t="s">
        <v>678</v>
      </c>
      <c r="C31" s="279" t="s">
        <v>426</v>
      </c>
      <c r="D31" s="280" t="s">
        <v>677</v>
      </c>
      <c r="E31" s="279" t="s">
        <v>487</v>
      </c>
      <c r="F31" s="281" t="s">
        <v>489</v>
      </c>
      <c r="G31" s="260">
        <v>87</v>
      </c>
      <c r="H31" s="282" t="s">
        <v>292</v>
      </c>
      <c r="I31" s="288">
        <v>0.54</v>
      </c>
      <c r="J31" s="288"/>
    </row>
    <row r="32" spans="2:10" s="35" customFormat="1" ht="12.75" customHeight="1">
      <c r="B32" s="278" t="s">
        <v>177</v>
      </c>
      <c r="C32" s="279" t="s">
        <v>426</v>
      </c>
      <c r="D32" s="280" t="s">
        <v>174</v>
      </c>
      <c r="E32" s="279" t="s">
        <v>175</v>
      </c>
      <c r="F32" s="281" t="s">
        <v>175</v>
      </c>
      <c r="G32" s="247">
        <v>49.5</v>
      </c>
      <c r="H32" s="282" t="s">
        <v>292</v>
      </c>
      <c r="I32" s="283">
        <v>0.56000000000000005</v>
      </c>
      <c r="J32" s="283"/>
    </row>
    <row r="33" spans="2:11" s="173" customFormat="1" ht="12.75" customHeight="1">
      <c r="B33" s="278" t="s">
        <v>645</v>
      </c>
      <c r="C33" s="279" t="s">
        <v>426</v>
      </c>
      <c r="D33" s="280" t="s">
        <v>504</v>
      </c>
      <c r="E33" s="279" t="s">
        <v>326</v>
      </c>
      <c r="F33" s="281" t="s">
        <v>428</v>
      </c>
      <c r="G33" s="247">
        <v>9.8000000000000007</v>
      </c>
      <c r="H33" s="282" t="s">
        <v>292</v>
      </c>
      <c r="I33" s="283"/>
      <c r="J33" s="283" t="s">
        <v>657</v>
      </c>
    </row>
    <row r="34" spans="2:11" s="173" customFormat="1" ht="12.75" customHeight="1">
      <c r="B34" s="278" t="s">
        <v>646</v>
      </c>
      <c r="C34" s="279" t="s">
        <v>426</v>
      </c>
      <c r="D34" s="280" t="s">
        <v>463</v>
      </c>
      <c r="E34" s="279" t="s">
        <v>326</v>
      </c>
      <c r="F34" s="281" t="s">
        <v>428</v>
      </c>
      <c r="G34" s="247">
        <v>10.6</v>
      </c>
      <c r="H34" s="282" t="s">
        <v>292</v>
      </c>
      <c r="I34" s="283"/>
      <c r="J34" s="283" t="s">
        <v>658</v>
      </c>
    </row>
    <row r="35" spans="2:11" s="173" customFormat="1" ht="12.75" customHeight="1">
      <c r="B35" s="278" t="s">
        <v>635</v>
      </c>
      <c r="C35" s="279" t="s">
        <v>422</v>
      </c>
      <c r="D35" s="280" t="s">
        <v>469</v>
      </c>
      <c r="E35" s="279" t="s">
        <v>326</v>
      </c>
      <c r="F35" s="281" t="s">
        <v>428</v>
      </c>
      <c r="G35" s="294">
        <v>9.8000000000000007</v>
      </c>
      <c r="H35" s="282" t="s">
        <v>292</v>
      </c>
      <c r="I35" s="283">
        <v>0.19220016773832818</v>
      </c>
      <c r="J35" s="283" t="s">
        <v>655</v>
      </c>
    </row>
    <row r="36" spans="2:11" s="173" customFormat="1" ht="12.75" customHeight="1">
      <c r="B36" s="278" t="s">
        <v>636</v>
      </c>
      <c r="C36" s="279" t="s">
        <v>422</v>
      </c>
      <c r="D36" s="280" t="s">
        <v>469</v>
      </c>
      <c r="E36" s="279" t="s">
        <v>326</v>
      </c>
      <c r="F36" s="281" t="s">
        <v>555</v>
      </c>
      <c r="G36" s="247">
        <v>8.6</v>
      </c>
      <c r="H36" s="282" t="s">
        <v>292</v>
      </c>
      <c r="I36" s="283">
        <v>0.2195293291183702</v>
      </c>
      <c r="J36" s="283" t="s">
        <v>654</v>
      </c>
    </row>
    <row r="37" spans="2:11" s="173" customFormat="1" ht="12.75" customHeight="1">
      <c r="B37" s="278" t="s">
        <v>637</v>
      </c>
      <c r="C37" s="279" t="s">
        <v>422</v>
      </c>
      <c r="D37" s="280" t="s">
        <v>469</v>
      </c>
      <c r="E37" s="279" t="s">
        <v>326</v>
      </c>
      <c r="F37" s="281" t="s">
        <v>428</v>
      </c>
      <c r="G37" s="247">
        <v>9.9</v>
      </c>
      <c r="H37" s="282" t="s">
        <v>292</v>
      </c>
      <c r="I37" s="283"/>
      <c r="J37" s="283" t="s">
        <v>656</v>
      </c>
    </row>
    <row r="38" spans="2:11" s="173" customFormat="1" ht="12.75" customHeight="1">
      <c r="B38" s="278" t="s">
        <v>638</v>
      </c>
      <c r="C38" s="279" t="s">
        <v>422</v>
      </c>
      <c r="D38" s="280" t="s">
        <v>469</v>
      </c>
      <c r="E38" s="279" t="s">
        <v>326</v>
      </c>
      <c r="F38" s="281" t="s">
        <v>428</v>
      </c>
      <c r="G38" s="247">
        <v>9.8000000000000007</v>
      </c>
      <c r="H38" s="282" t="s">
        <v>292</v>
      </c>
      <c r="I38" s="283"/>
      <c r="J38" s="283" t="s">
        <v>659</v>
      </c>
    </row>
    <row r="39" spans="2:11" s="173" customFormat="1" ht="12.75" customHeight="1">
      <c r="B39" s="278" t="s">
        <v>713</v>
      </c>
      <c r="C39" s="279" t="s">
        <v>422</v>
      </c>
      <c r="D39" s="280" t="s">
        <v>469</v>
      </c>
      <c r="E39" s="279" t="s">
        <v>326</v>
      </c>
      <c r="F39" s="281" t="s">
        <v>428</v>
      </c>
      <c r="G39" s="247">
        <v>9.9</v>
      </c>
      <c r="H39" s="282" t="s">
        <v>292</v>
      </c>
      <c r="I39" s="283"/>
      <c r="J39" s="283" t="s">
        <v>878</v>
      </c>
    </row>
    <row r="40" spans="2:11" s="173" customFormat="1" ht="12.75" customHeight="1">
      <c r="B40" s="278" t="s">
        <v>880</v>
      </c>
      <c r="C40" s="279" t="s">
        <v>426</v>
      </c>
      <c r="D40" s="280" t="s">
        <v>907</v>
      </c>
      <c r="E40" s="279" t="s">
        <v>326</v>
      </c>
      <c r="F40" s="281"/>
      <c r="G40" s="247">
        <v>9.69</v>
      </c>
      <c r="H40" s="282" t="s">
        <v>292</v>
      </c>
      <c r="I40" s="283"/>
      <c r="J40" s="283" t="s">
        <v>881</v>
      </c>
    </row>
    <row r="41" spans="2:11" s="173" customFormat="1" ht="12.75" customHeight="1">
      <c r="B41" s="278"/>
      <c r="C41" s="279"/>
      <c r="D41" s="280"/>
      <c r="E41" s="279"/>
      <c r="F41" s="281"/>
      <c r="G41" s="247"/>
      <c r="H41" s="282"/>
      <c r="I41" s="283"/>
      <c r="J41" s="283"/>
    </row>
    <row r="42" spans="2:11" s="173" customFormat="1" ht="12.75" customHeight="1">
      <c r="B42" s="316" t="s">
        <v>500</v>
      </c>
      <c r="C42" s="317"/>
      <c r="D42" s="317"/>
      <c r="E42" s="317"/>
      <c r="F42" s="318"/>
      <c r="G42" s="319">
        <f>SUM(G7:G41)</f>
        <v>1731.4100000000005</v>
      </c>
      <c r="H42" s="320" t="s">
        <v>292</v>
      </c>
      <c r="I42" s="321"/>
      <c r="J42" s="321"/>
    </row>
    <row r="43" spans="2:11" s="173" customFormat="1" ht="12.75" customHeight="1">
      <c r="B43" s="295"/>
      <c r="C43" s="296"/>
      <c r="D43" s="296"/>
      <c r="E43" s="296"/>
      <c r="F43" s="297"/>
      <c r="G43" s="298"/>
      <c r="H43" s="299"/>
    </row>
    <row r="44" spans="2:11" s="173" customFormat="1" ht="12.75" customHeight="1">
      <c r="B44" s="278" t="s">
        <v>497</v>
      </c>
      <c r="C44" s="279" t="s">
        <v>422</v>
      </c>
      <c r="D44" s="280" t="s">
        <v>469</v>
      </c>
      <c r="E44" s="279" t="s">
        <v>326</v>
      </c>
      <c r="F44" s="281" t="s">
        <v>556</v>
      </c>
      <c r="G44" s="247">
        <f>84.07-G37-G35-G38-G39</f>
        <v>44.669999999999995</v>
      </c>
      <c r="H44" s="282" t="s">
        <v>427</v>
      </c>
      <c r="I44" s="283" t="s">
        <v>485</v>
      </c>
      <c r="J44" s="283" t="s">
        <v>877</v>
      </c>
      <c r="K44" s="545">
        <f>32.7+G38+G39</f>
        <v>52.4</v>
      </c>
    </row>
    <row r="45" spans="2:11" s="173" customFormat="1" ht="12.75" customHeight="1">
      <c r="B45" s="278" t="s">
        <v>498</v>
      </c>
      <c r="C45" s="279" t="s">
        <v>426</v>
      </c>
      <c r="D45" s="280" t="s">
        <v>634</v>
      </c>
      <c r="E45" s="279" t="s">
        <v>326</v>
      </c>
      <c r="F45" s="281" t="s">
        <v>556</v>
      </c>
      <c r="G45" s="247">
        <f>41.75-G34-G33</f>
        <v>21.349999999999998</v>
      </c>
      <c r="H45" s="282" t="s">
        <v>427</v>
      </c>
      <c r="I45" s="283" t="s">
        <v>485</v>
      </c>
      <c r="J45" s="283" t="s">
        <v>877</v>
      </c>
    </row>
    <row r="46" spans="2:11" s="173" customFormat="1" ht="12.75" customHeight="1">
      <c r="B46" s="278"/>
      <c r="C46" s="279"/>
      <c r="D46" s="280"/>
      <c r="E46" s="279"/>
      <c r="F46" s="268"/>
      <c r="G46" s="247"/>
      <c r="H46" s="282"/>
      <c r="I46" s="281"/>
      <c r="J46" s="281"/>
    </row>
    <row r="47" spans="2:11" s="173" customFormat="1" ht="12.75" customHeight="1">
      <c r="B47" s="316" t="s">
        <v>501</v>
      </c>
      <c r="C47" s="317"/>
      <c r="D47" s="317"/>
      <c r="E47" s="317"/>
      <c r="F47" s="318"/>
      <c r="G47" s="319">
        <f>SUM(G44:G46)</f>
        <v>66.02</v>
      </c>
      <c r="H47" s="320" t="s">
        <v>462</v>
      </c>
      <c r="I47" s="321"/>
      <c r="J47" s="321"/>
    </row>
    <row r="48" spans="2:11" s="173" customFormat="1" ht="12.75" customHeight="1">
      <c r="B48" s="295"/>
      <c r="C48" s="296"/>
      <c r="D48" s="296"/>
      <c r="E48" s="296"/>
      <c r="F48" s="296"/>
      <c r="G48" s="296"/>
      <c r="H48" s="296"/>
      <c r="I48" s="297"/>
      <c r="J48" s="297"/>
    </row>
    <row r="49" spans="2:12" s="173" customFormat="1" ht="12.75" customHeight="1">
      <c r="C49" s="296"/>
      <c r="D49" s="302"/>
      <c r="E49" s="291"/>
      <c r="F49" s="291"/>
      <c r="G49" s="291"/>
      <c r="H49" s="296"/>
      <c r="I49" s="297"/>
      <c r="J49" s="297"/>
      <c r="K49" s="297"/>
    </row>
    <row r="50" spans="2:12" s="173" customFormat="1" ht="12.75" customHeight="1">
      <c r="B50" s="312" t="s">
        <v>852</v>
      </c>
      <c r="C50" s="296"/>
      <c r="D50" s="296"/>
      <c r="E50" s="296"/>
      <c r="F50" s="296"/>
      <c r="H50" s="296"/>
      <c r="I50" s="297"/>
      <c r="J50" s="297"/>
    </row>
    <row r="51" spans="2:12" s="173" customFormat="1" ht="12.75" customHeight="1">
      <c r="B51" s="295"/>
      <c r="C51" s="296"/>
      <c r="D51" s="296"/>
      <c r="E51" s="300" t="s">
        <v>490</v>
      </c>
      <c r="F51" s="300" t="s">
        <v>469</v>
      </c>
      <c r="G51" s="300" t="s">
        <v>426</v>
      </c>
      <c r="H51" s="296"/>
    </row>
    <row r="52" spans="2:12" s="173" customFormat="1" ht="12.75" customHeight="1">
      <c r="B52" s="278" t="s">
        <v>423</v>
      </c>
      <c r="C52" s="279"/>
      <c r="D52" s="280" t="s">
        <v>502</v>
      </c>
      <c r="E52" s="301">
        <f>+E68/E$66</f>
        <v>0.69411326171255638</v>
      </c>
      <c r="F52" s="301">
        <f t="shared" ref="E52:G55" si="0">+F62/F$66</f>
        <v>0.7112938178100634</v>
      </c>
      <c r="G52" s="301">
        <f t="shared" si="0"/>
        <v>0.28963862501224169</v>
      </c>
      <c r="H52" s="296"/>
    </row>
    <row r="53" spans="2:12" s="173" customFormat="1" ht="12.75" customHeight="1">
      <c r="B53" s="278" t="s">
        <v>326</v>
      </c>
      <c r="C53" s="279"/>
      <c r="D53" s="280" t="s">
        <v>502</v>
      </c>
      <c r="E53" s="301">
        <f>+E63/E$66</f>
        <v>8.0175584028307087E-2</v>
      </c>
      <c r="F53" s="301">
        <f t="shared" si="0"/>
        <v>6.6717542962872287E-2</v>
      </c>
      <c r="G53" s="301">
        <f t="shared" si="0"/>
        <v>0.12594261090980316</v>
      </c>
      <c r="H53" s="296"/>
      <c r="I53" s="358"/>
      <c r="J53" s="359"/>
    </row>
    <row r="54" spans="2:12" s="173" customFormat="1" ht="12.75" customHeight="1">
      <c r="B54" s="278" t="s">
        <v>175</v>
      </c>
      <c r="C54" s="279"/>
      <c r="D54" s="280" t="s">
        <v>502</v>
      </c>
      <c r="E54" s="301">
        <f t="shared" si="0"/>
        <v>2.7539320029152738E-2</v>
      </c>
      <c r="F54" s="301">
        <f t="shared" si="0"/>
        <v>0</v>
      </c>
      <c r="G54" s="301">
        <f t="shared" si="0"/>
        <v>0.12119283126040545</v>
      </c>
      <c r="H54" s="296"/>
    </row>
    <row r="55" spans="2:12" s="173" customFormat="1" ht="12.75" customHeight="1">
      <c r="B55" s="278" t="s">
        <v>487</v>
      </c>
      <c r="C55" s="279"/>
      <c r="D55" s="280" t="s">
        <v>502</v>
      </c>
      <c r="E55" s="301">
        <f t="shared" si="0"/>
        <v>0.19817183422998394</v>
      </c>
      <c r="F55" s="301">
        <f t="shared" si="0"/>
        <v>0.12023124716520638</v>
      </c>
      <c r="G55" s="301">
        <f t="shared" si="0"/>
        <v>0.4632259328175497</v>
      </c>
      <c r="H55" s="296"/>
    </row>
    <row r="56" spans="2:12" s="173" customFormat="1" ht="12.75" customHeight="1"/>
    <row r="57" spans="2:12" s="173" customFormat="1" ht="12.75" customHeight="1">
      <c r="B57" s="278" t="s">
        <v>499</v>
      </c>
      <c r="C57" s="279"/>
      <c r="D57" s="280" t="s">
        <v>502</v>
      </c>
      <c r="E57" s="301">
        <f>+(E63+E64)/E$66</f>
        <v>0.10771490405745981</v>
      </c>
      <c r="F57" s="301">
        <f>+(F63+F64)/F$66</f>
        <v>6.6717542962872287E-2</v>
      </c>
      <c r="G57" s="301">
        <f>+(G63+G64)/G$66</f>
        <v>0.24713544217020861</v>
      </c>
      <c r="H57" s="296"/>
      <c r="I57" s="297"/>
      <c r="J57" s="297"/>
    </row>
    <row r="58" spans="2:12" s="173" customFormat="1" ht="12.75" customHeight="1">
      <c r="B58" s="295"/>
      <c r="C58" s="296"/>
      <c r="D58" s="302"/>
      <c r="E58" s="291"/>
      <c r="F58" s="291"/>
      <c r="G58" s="291"/>
      <c r="H58" s="296"/>
      <c r="I58" s="297"/>
      <c r="J58" s="297"/>
    </row>
    <row r="59" spans="2:12" s="173" customFormat="1" ht="12.75" customHeight="1">
      <c r="B59" s="312" t="s">
        <v>505</v>
      </c>
      <c r="C59" s="296"/>
      <c r="D59" s="302"/>
      <c r="E59" s="291"/>
      <c r="F59" s="291"/>
      <c r="G59" s="291"/>
      <c r="H59" s="296"/>
      <c r="I59" s="297"/>
      <c r="J59" s="297"/>
      <c r="K59" s="297"/>
    </row>
    <row r="60" spans="2:12" s="173" customFormat="1" ht="12.75" customHeight="1">
      <c r="B60" s="295"/>
      <c r="C60" s="296"/>
      <c r="D60" s="302"/>
      <c r="E60" s="291"/>
      <c r="F60" s="291"/>
      <c r="G60" s="291"/>
      <c r="H60" s="296"/>
      <c r="I60" s="297"/>
      <c r="J60" s="297"/>
      <c r="K60" s="297"/>
    </row>
    <row r="61" spans="2:12" s="173" customFormat="1" ht="12.75" customHeight="1">
      <c r="B61" s="278" t="s">
        <v>424</v>
      </c>
      <c r="C61" s="279"/>
      <c r="D61" s="280" t="s">
        <v>292</v>
      </c>
      <c r="E61" s="303">
        <f>SUMIFS($G$7:$G$47,$F$7:$F$47,$B61)</f>
        <v>141.34</v>
      </c>
      <c r="F61" s="303">
        <f>SUMIFS($G$7:$G$47,$F$7:$F$47,$B61,$C$7:$C$47,"Colombia")</f>
        <v>141.34</v>
      </c>
      <c r="G61" s="303">
        <f>SUMIFS($G$7:$G$47,$F$7:$F$47,$B61,$C$7:$C$47,"Centroamérica")</f>
        <v>0</v>
      </c>
      <c r="H61" s="296"/>
      <c r="I61" s="280" t="s">
        <v>502</v>
      </c>
      <c r="J61" s="283">
        <f>E61/$E$66</f>
        <v>7.8634494806473693E-2</v>
      </c>
      <c r="K61" s="283">
        <f t="shared" ref="K61:L65" si="1">F61/$F$66</f>
        <v>0.1017573920618579</v>
      </c>
      <c r="L61" s="283">
        <f t="shared" si="1"/>
        <v>0</v>
      </c>
    </row>
    <row r="62" spans="2:12" s="173" customFormat="1" ht="12.75" customHeight="1">
      <c r="B62" s="278" t="s">
        <v>425</v>
      </c>
      <c r="C62" s="279"/>
      <c r="D62" s="280" t="s">
        <v>292</v>
      </c>
      <c r="E62" s="303">
        <f>SUMIFS($G$7:$G$47,$F$7:$F$47,$B62)</f>
        <v>1106.28</v>
      </c>
      <c r="F62" s="303">
        <f>SUMIFS($G$7:$G$47,$F$7:$F$47,$B62,$C$7:$C$47,"Colombia")</f>
        <v>987.98</v>
      </c>
      <c r="G62" s="303">
        <f>SUMIFS($G$7:$G$47,$F$7:$F$47,$B62,$C$7:$C$47,"Centroamérica")</f>
        <v>118.3</v>
      </c>
      <c r="H62" s="296"/>
      <c r="I62" s="280" t="s">
        <v>502</v>
      </c>
      <c r="J62" s="283">
        <f>E62/$E$66</f>
        <v>0.61547876690608261</v>
      </c>
      <c r="K62" s="283">
        <f t="shared" si="1"/>
        <v>0.7112938178100634</v>
      </c>
      <c r="L62" s="283">
        <f t="shared" si="1"/>
        <v>8.5169799638586313E-2</v>
      </c>
    </row>
    <row r="63" spans="2:12" s="173" customFormat="1" ht="12.75" customHeight="1">
      <c r="B63" s="278" t="s">
        <v>326</v>
      </c>
      <c r="C63" s="279"/>
      <c r="D63" s="280" t="s">
        <v>292</v>
      </c>
      <c r="E63" s="247">
        <f>SUMIFS($G$7:$G$47,$E$7:$E$47,$B63)</f>
        <v>144.10999999999999</v>
      </c>
      <c r="F63" s="303">
        <f>SUMIFS($G$7:$G$47,$E$7:$E$47,$B63,$C$7:$C$47,"Colombia")</f>
        <v>92.669999999999987</v>
      </c>
      <c r="G63" s="303">
        <f>SUMIFS($G$7:$G$47,$E$7:$E$47,$B63,$C$7:$C$47,"Centroamérica")</f>
        <v>51.44</v>
      </c>
      <c r="H63" s="296"/>
      <c r="I63" s="280" t="s">
        <v>502</v>
      </c>
      <c r="J63" s="283">
        <f>E63/$E$66</f>
        <v>8.0175584028307087E-2</v>
      </c>
      <c r="K63" s="283">
        <f t="shared" si="1"/>
        <v>6.6717542962872287E-2</v>
      </c>
      <c r="L63" s="283">
        <f t="shared" si="1"/>
        <v>3.7034103917234822E-2</v>
      </c>
    </row>
    <row r="64" spans="2:12" s="173" customFormat="1" ht="12.75" customHeight="1">
      <c r="B64" s="278" t="s">
        <v>175</v>
      </c>
      <c r="C64" s="279"/>
      <c r="D64" s="280" t="s">
        <v>292</v>
      </c>
      <c r="E64" s="303">
        <f>SUMIFS($G$7:$G$47,$E$7:$E$47,$B64)</f>
        <v>49.5</v>
      </c>
      <c r="F64" s="303">
        <f>SUMIFS($G$7:$G$47,$E$7:$E$47,$B64,$C$7:$C$47,"Colombia")</f>
        <v>0</v>
      </c>
      <c r="G64" s="303">
        <f>SUMIFS($G$7:$G$47,$E$7:$E$47,$B64,$C$7:$C$47,"Centroamérica")</f>
        <v>49.5</v>
      </c>
      <c r="H64" s="296"/>
      <c r="I64" s="280" t="s">
        <v>502</v>
      </c>
      <c r="J64" s="283">
        <f>E64/$E$66</f>
        <v>2.7539320029152738E-2</v>
      </c>
      <c r="K64" s="283">
        <f t="shared" si="1"/>
        <v>0</v>
      </c>
      <c r="L64" s="283">
        <f t="shared" si="1"/>
        <v>3.5637405596872548E-2</v>
      </c>
    </row>
    <row r="65" spans="2:12" s="173" customFormat="1" ht="12.75" customHeight="1">
      <c r="B65" s="278" t="s">
        <v>487</v>
      </c>
      <c r="C65" s="279"/>
      <c r="D65" s="280" t="s">
        <v>292</v>
      </c>
      <c r="E65" s="303">
        <f>SUMIFS($G$7:$G$47,$E$7:$E$47,$B65)</f>
        <v>356.2</v>
      </c>
      <c r="F65" s="303">
        <f>SUMIFS($G$7:$G$47,$E$7:$E$47,$B65,$C$7:$C$47,"Colombia")</f>
        <v>167</v>
      </c>
      <c r="G65" s="303">
        <f>SUMIFS($G$7:$G$47,$E$7:$E$47,$B65,$C$7:$C$47,"Centroamérica")</f>
        <v>189.2</v>
      </c>
      <c r="H65" s="296"/>
      <c r="I65" s="280" t="s">
        <v>502</v>
      </c>
      <c r="J65" s="283">
        <f>E65/$E$66</f>
        <v>0.19817183422998394</v>
      </c>
      <c r="K65" s="283">
        <f t="shared" si="1"/>
        <v>0.12023124716520638</v>
      </c>
      <c r="L65" s="283">
        <f t="shared" si="1"/>
        <v>0.13621408361471285</v>
      </c>
    </row>
    <row r="66" spans="2:12" s="173" customFormat="1" ht="12.75" customHeight="1">
      <c r="B66" s="304" t="s">
        <v>503</v>
      </c>
      <c r="C66" s="305"/>
      <c r="D66" s="306"/>
      <c r="E66" s="307">
        <f>SUM(E61:E65)</f>
        <v>1797.4299999999998</v>
      </c>
      <c r="F66" s="307">
        <f>SUM(F61:F65)</f>
        <v>1388.99</v>
      </c>
      <c r="G66" s="307">
        <f>SUM(G61:G65)</f>
        <v>408.44</v>
      </c>
      <c r="H66" s="296"/>
    </row>
    <row r="67" spans="2:12" s="269" customFormat="1" ht="12.75" customHeight="1">
      <c r="B67" s="308"/>
      <c r="C67" s="309"/>
      <c r="D67" s="310"/>
      <c r="E67" s="311" t="b">
        <f>E66=$G$42+G47</f>
        <v>1</v>
      </c>
      <c r="F67" s="311" t="b">
        <f>$F$66+$G$66=$E$66</f>
        <v>1</v>
      </c>
      <c r="G67" s="311" t="b">
        <f>$F$66+$G$66=$E$66</f>
        <v>1</v>
      </c>
      <c r="H67" s="309"/>
      <c r="J67" s="311"/>
      <c r="K67" s="311"/>
      <c r="L67" s="311"/>
    </row>
    <row r="68" spans="2:12" s="173" customFormat="1" ht="12.75" customHeight="1">
      <c r="B68" s="278" t="s">
        <v>423</v>
      </c>
      <c r="C68" s="279"/>
      <c r="D68" s="280" t="s">
        <v>292</v>
      </c>
      <c r="E68" s="303">
        <f>SUMIFS($G$7:$G$41,$E$7:$E$41,$B68)</f>
        <v>1247.6200000000001</v>
      </c>
      <c r="F68" s="303">
        <f>SUMIFS($G$7:$G$41,$E$7:$E$41,$B68,$C$7:$C$41,"Colombia")</f>
        <v>1129.3200000000002</v>
      </c>
      <c r="G68" s="303">
        <f>SUMIFS($G$7:$G$41,$E$7:$E$41,$B68,$C$7:$C$41,"Centroamérica")</f>
        <v>118.3</v>
      </c>
      <c r="H68" s="296"/>
      <c r="I68" s="280" t="s">
        <v>502</v>
      </c>
      <c r="J68" s="283">
        <f t="shared" ref="J68:L70" si="2">E68/E$66</f>
        <v>0.69411326171255638</v>
      </c>
      <c r="K68" s="283">
        <f t="shared" si="2"/>
        <v>0.81305120987192148</v>
      </c>
      <c r="L68" s="283">
        <f t="shared" si="2"/>
        <v>0.28963862501224169</v>
      </c>
    </row>
    <row r="69" spans="2:12" s="173" customFormat="1" ht="12.75" customHeight="1">
      <c r="B69" s="278" t="s">
        <v>499</v>
      </c>
      <c r="C69" s="279"/>
      <c r="D69" s="280" t="s">
        <v>292</v>
      </c>
      <c r="E69" s="247">
        <f>+E63+E64</f>
        <v>193.60999999999999</v>
      </c>
      <c r="F69" s="247">
        <f>+F63+F64</f>
        <v>92.669999999999987</v>
      </c>
      <c r="G69" s="247">
        <f>+G63+G64</f>
        <v>100.94</v>
      </c>
      <c r="H69" s="296"/>
      <c r="I69" s="280" t="s">
        <v>502</v>
      </c>
      <c r="J69" s="283">
        <f t="shared" si="2"/>
        <v>0.10771490405745981</v>
      </c>
      <c r="K69" s="283">
        <f t="shared" si="2"/>
        <v>6.6717542962872287E-2</v>
      </c>
      <c r="L69" s="283">
        <f t="shared" si="2"/>
        <v>0.24713544217020861</v>
      </c>
    </row>
    <row r="70" spans="2:12" s="173" customFormat="1" ht="12.75" customHeight="1">
      <c r="B70" s="278" t="s">
        <v>506</v>
      </c>
      <c r="C70" s="279"/>
      <c r="D70" s="280" t="s">
        <v>292</v>
      </c>
      <c r="E70" s="247">
        <f t="shared" ref="E70:F70" si="3">+E63+E64+E61+E62</f>
        <v>1441.23</v>
      </c>
      <c r="F70" s="247">
        <f t="shared" si="3"/>
        <v>1221.99</v>
      </c>
      <c r="G70" s="247">
        <f>+G63+G64+G61+G62</f>
        <v>219.24</v>
      </c>
      <c r="H70" s="296"/>
      <c r="I70" s="280" t="s">
        <v>502</v>
      </c>
      <c r="J70" s="283">
        <f t="shared" si="2"/>
        <v>0.80182816577001614</v>
      </c>
      <c r="K70" s="283">
        <f t="shared" si="2"/>
        <v>0.87976875283479361</v>
      </c>
      <c r="L70" s="283">
        <f t="shared" si="2"/>
        <v>0.53677406718245035</v>
      </c>
    </row>
    <row r="71" spans="2:12" s="173" customFormat="1" ht="12.75" customHeight="1">
      <c r="B71" s="278"/>
      <c r="C71" s="279"/>
      <c r="D71" s="280"/>
      <c r="E71" s="247"/>
      <c r="F71" s="247"/>
      <c r="G71" s="247"/>
      <c r="H71" s="296"/>
      <c r="I71" s="280"/>
      <c r="J71" s="283"/>
      <c r="K71" s="283"/>
      <c r="L71" s="283"/>
    </row>
    <row r="73" spans="2:12" ht="14.1" customHeight="1" thickBot="1">
      <c r="B73" s="83" t="s">
        <v>720</v>
      </c>
      <c r="C73" s="110"/>
      <c r="D73" s="166"/>
      <c r="E73" s="110"/>
      <c r="F73" s="111"/>
    </row>
    <row r="74" spans="2:12" ht="14.1" customHeight="1" thickTop="1"/>
    <row r="75" spans="2:12" s="148" customFormat="1" ht="36" customHeight="1">
      <c r="B75" s="272" t="s">
        <v>161</v>
      </c>
      <c r="C75" s="167" t="s">
        <v>431</v>
      </c>
      <c r="D75" s="662" t="s">
        <v>179</v>
      </c>
      <c r="E75" s="662"/>
      <c r="F75" s="272" t="s">
        <v>180</v>
      </c>
      <c r="G75" s="272" t="s">
        <v>449</v>
      </c>
      <c r="H75" s="272" t="s">
        <v>450</v>
      </c>
      <c r="I75" s="92"/>
    </row>
    <row r="76" spans="2:12" s="147" customFormat="1" ht="25.5" customHeight="1">
      <c r="B76" s="146" t="s">
        <v>181</v>
      </c>
      <c r="C76" s="168">
        <f>+(3648456*365)/1000000</f>
        <v>1331.6864399999999</v>
      </c>
      <c r="D76" s="661" t="s">
        <v>430</v>
      </c>
      <c r="E76" s="661"/>
      <c r="F76" s="156">
        <v>15.1</v>
      </c>
      <c r="G76" s="331">
        <v>43497</v>
      </c>
      <c r="H76" s="332" t="s">
        <v>624</v>
      </c>
      <c r="I76" s="92"/>
      <c r="J76" s="362"/>
    </row>
    <row r="77" spans="2:12" s="147" customFormat="1" ht="28.5" customHeight="1">
      <c r="B77" s="146" t="s">
        <v>721</v>
      </c>
      <c r="C77" s="168">
        <f>((2172+229+14+101+1741)*365)/1000</f>
        <v>1553.8050000000001</v>
      </c>
      <c r="D77" s="661" t="s">
        <v>430</v>
      </c>
      <c r="E77" s="661"/>
      <c r="F77" s="156">
        <v>15.1</v>
      </c>
      <c r="G77" s="331">
        <v>43497</v>
      </c>
      <c r="H77" s="332" t="s">
        <v>624</v>
      </c>
      <c r="I77" s="92"/>
      <c r="J77" s="362"/>
    </row>
    <row r="78" spans="2:12" s="147" customFormat="1" ht="25.5" customHeight="1">
      <c r="B78" s="146" t="s">
        <v>277</v>
      </c>
      <c r="C78" s="168">
        <v>50</v>
      </c>
      <c r="D78" s="661" t="s">
        <v>278</v>
      </c>
      <c r="E78" s="661"/>
      <c r="F78" s="156">
        <v>13.99</v>
      </c>
      <c r="G78" s="331">
        <v>39569</v>
      </c>
      <c r="H78" s="332" t="s">
        <v>624</v>
      </c>
      <c r="I78" s="92"/>
      <c r="J78" s="362"/>
    </row>
    <row r="79" spans="2:12" s="147" customFormat="1" ht="25.5" customHeight="1">
      <c r="B79" s="146" t="s">
        <v>277</v>
      </c>
      <c r="C79" s="168">
        <v>5</v>
      </c>
      <c r="D79" s="661" t="s">
        <v>623</v>
      </c>
      <c r="E79" s="661"/>
      <c r="F79" s="156">
        <v>16.600000000000001</v>
      </c>
      <c r="G79" s="331">
        <v>44075</v>
      </c>
      <c r="H79" s="332" t="s">
        <v>624</v>
      </c>
      <c r="I79" s="92"/>
      <c r="J79" s="362"/>
    </row>
    <row r="80" spans="2:12" ht="14.1" customHeight="1">
      <c r="B80" s="92" t="s">
        <v>626</v>
      </c>
      <c r="C80" s="165"/>
      <c r="D80" s="92"/>
      <c r="E80" s="109"/>
      <c r="F80" s="92"/>
    </row>
    <row r="81" spans="2:9" ht="14.1" customHeight="1">
      <c r="B81" s="92" t="s">
        <v>627</v>
      </c>
      <c r="C81" s="165"/>
      <c r="D81" s="92"/>
      <c r="E81" s="109"/>
      <c r="F81" s="92"/>
    </row>
    <row r="82" spans="2:9" ht="14.1" customHeight="1">
      <c r="C82" s="165"/>
      <c r="D82" s="92"/>
      <c r="E82" s="109"/>
      <c r="F82" s="92"/>
    </row>
    <row r="83" spans="2:9" ht="14.1" customHeight="1">
      <c r="B83" s="104" t="s">
        <v>575</v>
      </c>
      <c r="C83" s="165"/>
      <c r="D83" s="92"/>
      <c r="E83" s="109"/>
      <c r="F83" s="92"/>
    </row>
    <row r="84" spans="2:9" ht="14.1" customHeight="1">
      <c r="C84" s="165"/>
      <c r="D84" s="92"/>
      <c r="E84" s="109"/>
      <c r="F84" s="92"/>
    </row>
    <row r="85" spans="2:9" s="335" customFormat="1" ht="25.5" customHeight="1">
      <c r="B85" s="333" t="s">
        <v>576</v>
      </c>
      <c r="C85" s="334">
        <v>1665</v>
      </c>
      <c r="D85" s="663" t="s">
        <v>577</v>
      </c>
      <c r="E85" s="663"/>
      <c r="F85" s="332" t="s">
        <v>625</v>
      </c>
      <c r="G85" s="331">
        <v>43497</v>
      </c>
      <c r="H85" s="332" t="s">
        <v>624</v>
      </c>
      <c r="I85" s="92"/>
    </row>
    <row r="86" spans="2:9" s="335" customFormat="1" ht="25.5" customHeight="1">
      <c r="B86" s="333" t="s">
        <v>722</v>
      </c>
      <c r="C86" s="334">
        <v>121.1</v>
      </c>
      <c r="D86" s="660" t="s">
        <v>580</v>
      </c>
      <c r="E86" s="660"/>
      <c r="F86" s="332">
        <v>9</v>
      </c>
      <c r="G86" s="336">
        <v>43497</v>
      </c>
      <c r="H86" s="332" t="s">
        <v>624</v>
      </c>
      <c r="I86" s="92"/>
    </row>
    <row r="87" spans="2:9" ht="14.1" customHeight="1">
      <c r="C87" s="165"/>
      <c r="D87" s="92"/>
      <c r="E87" s="109"/>
      <c r="F87" s="92"/>
    </row>
    <row r="88" spans="2:9" ht="14.1" customHeight="1" thickBot="1">
      <c r="B88" s="83" t="s">
        <v>182</v>
      </c>
      <c r="C88" s="110"/>
      <c r="D88" s="166"/>
      <c r="E88" s="110"/>
      <c r="F88" s="111"/>
    </row>
    <row r="89" spans="2:9" ht="14.1" customHeight="1" thickTop="1"/>
    <row r="90" spans="2:9" ht="14.1" customHeight="1">
      <c r="B90" s="313" t="s">
        <v>183</v>
      </c>
      <c r="C90" s="314" t="s">
        <v>184</v>
      </c>
      <c r="F90" s="92"/>
    </row>
    <row r="91" spans="2:9" ht="14.1" customHeight="1">
      <c r="B91" s="314" t="s">
        <v>375</v>
      </c>
      <c r="F91" s="92"/>
    </row>
    <row r="92" spans="2:9" ht="14.1" customHeight="1">
      <c r="B92" s="313"/>
      <c r="F92" s="92"/>
    </row>
    <row r="94" spans="2:9" ht="14.1" customHeight="1" thickBot="1">
      <c r="B94" s="83" t="s">
        <v>608</v>
      </c>
      <c r="C94" s="110"/>
      <c r="D94" s="166"/>
      <c r="E94" s="110"/>
      <c r="F94" s="111"/>
      <c r="G94" s="110"/>
    </row>
    <row r="95" spans="2:9" ht="14.1" customHeight="1" thickTop="1">
      <c r="B95" s="104"/>
    </row>
    <row r="96" spans="2:9" ht="14.1" customHeight="1">
      <c r="B96" s="92" t="s">
        <v>908</v>
      </c>
    </row>
    <row r="97" spans="2:7" ht="14.1" customHeight="1">
      <c r="B97" s="104"/>
    </row>
    <row r="98" spans="2:7" ht="14.1" customHeight="1">
      <c r="B98" s="104" t="s">
        <v>600</v>
      </c>
    </row>
    <row r="99" spans="2:7" ht="14.1" customHeight="1">
      <c r="B99" s="92" t="s">
        <v>595</v>
      </c>
      <c r="C99" s="328">
        <v>0.65110000000000001</v>
      </c>
    </row>
    <row r="100" spans="2:7" ht="14.1" customHeight="1">
      <c r="B100" s="92" t="s">
        <v>597</v>
      </c>
      <c r="C100" s="328">
        <v>1</v>
      </c>
    </row>
    <row r="101" spans="2:7" ht="14.1" customHeight="1">
      <c r="B101" s="92" t="s">
        <v>594</v>
      </c>
      <c r="C101" s="328">
        <v>1</v>
      </c>
    </row>
    <row r="102" spans="2:7" ht="14.1" customHeight="1">
      <c r="B102" s="104" t="s">
        <v>426</v>
      </c>
    </row>
    <row r="103" spans="2:7" ht="14.1" customHeight="1">
      <c r="B103" s="92" t="s">
        <v>601</v>
      </c>
      <c r="C103" s="328">
        <v>1</v>
      </c>
    </row>
    <row r="104" spans="2:7" ht="14.1" customHeight="1">
      <c r="B104" s="92" t="s">
        <v>602</v>
      </c>
      <c r="C104" s="328">
        <v>0.61099999999999999</v>
      </c>
      <c r="D104" s="165" t="s">
        <v>611</v>
      </c>
    </row>
    <row r="105" spans="2:7" ht="14.1" customHeight="1">
      <c r="B105" s="92" t="s">
        <v>603</v>
      </c>
      <c r="C105" s="328">
        <v>0.51239999999999997</v>
      </c>
      <c r="D105" s="324"/>
    </row>
    <row r="106" spans="2:7" ht="14.1" customHeight="1">
      <c r="B106" s="92" t="s">
        <v>604</v>
      </c>
      <c r="C106" s="328">
        <v>1</v>
      </c>
    </row>
    <row r="107" spans="2:7" ht="14.1" customHeight="1">
      <c r="B107" s="92" t="s">
        <v>605</v>
      </c>
      <c r="C107" s="328">
        <v>1</v>
      </c>
    </row>
    <row r="108" spans="2:7" ht="14.1" customHeight="1">
      <c r="B108" s="92" t="s">
        <v>504</v>
      </c>
      <c r="C108" s="328">
        <v>1</v>
      </c>
    </row>
    <row r="109" spans="2:7" ht="14.1" customHeight="1">
      <c r="B109" s="92" t="s">
        <v>606</v>
      </c>
      <c r="C109" s="328">
        <v>0.6</v>
      </c>
    </row>
    <row r="111" spans="2:7" ht="14.1" customHeight="1" thickBot="1">
      <c r="B111" s="83" t="s">
        <v>607</v>
      </c>
      <c r="C111" s="110"/>
      <c r="D111" s="166"/>
      <c r="E111" s="110"/>
      <c r="F111" s="111"/>
      <c r="G111" s="110"/>
    </row>
    <row r="112" spans="2:7" ht="14.1" customHeight="1" thickTop="1"/>
    <row r="113" spans="2:3" ht="14.1" customHeight="1">
      <c r="B113" s="92" t="s">
        <v>596</v>
      </c>
      <c r="C113" s="328">
        <v>0.97050000000000003</v>
      </c>
    </row>
    <row r="114" spans="2:3" ht="14.1" customHeight="1">
      <c r="B114" s="92" t="s">
        <v>609</v>
      </c>
      <c r="C114" s="328">
        <v>1</v>
      </c>
    </row>
    <row r="115" spans="2:3" ht="14.1" customHeight="1">
      <c r="B115" s="92" t="s">
        <v>610</v>
      </c>
      <c r="C115" s="328">
        <v>0.57499999999999996</v>
      </c>
    </row>
    <row r="116" spans="2:3" ht="14.1" customHeight="1">
      <c r="B116" s="92" t="s">
        <v>599</v>
      </c>
      <c r="C116" s="328">
        <v>1</v>
      </c>
    </row>
    <row r="117" spans="2:3" ht="14.1" customHeight="1">
      <c r="B117" s="92" t="s">
        <v>598</v>
      </c>
      <c r="C117" s="328">
        <v>1</v>
      </c>
    </row>
    <row r="119" spans="2:3" ht="14.1" customHeight="1">
      <c r="B119" s="92" t="s">
        <v>628</v>
      </c>
    </row>
  </sheetData>
  <autoFilter ref="A6:K40" xr:uid="{00000000-0001-0000-0500-000000000000}"/>
  <mergeCells count="7">
    <mergeCell ref="D86:E86"/>
    <mergeCell ref="D78:E78"/>
    <mergeCell ref="D75:E75"/>
    <mergeCell ref="D76:E76"/>
    <mergeCell ref="D77:E77"/>
    <mergeCell ref="D85:E85"/>
    <mergeCell ref="D79:E79"/>
  </mergeCell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F4F30-067B-4EBE-B2C5-8C7CD451ADAC}">
  <dimension ref="B3:M28"/>
  <sheetViews>
    <sheetView showGridLines="0" zoomScaleNormal="100" workbookViewId="0">
      <pane xSplit="3" ySplit="6" topLeftCell="E7" activePane="bottomRight" state="frozen"/>
      <selection pane="topRight" activeCell="D1" sqref="D1"/>
      <selection pane="bottomLeft" activeCell="A7" sqref="A7"/>
      <selection pane="bottomRight" activeCell="E15" sqref="E15"/>
    </sheetView>
  </sheetViews>
  <sheetFormatPr baseColWidth="10" defaultRowHeight="12" customHeight="1"/>
  <cols>
    <col min="1" max="1" width="4.42578125" style="235" customWidth="1"/>
    <col min="2" max="2" width="1.7109375" style="235" customWidth="1"/>
    <col min="3" max="3" width="39.7109375" style="235" customWidth="1"/>
    <col min="4" max="4" width="24.85546875" style="235" customWidth="1"/>
    <col min="5" max="5" width="24" style="235" customWidth="1"/>
    <col min="6" max="6" width="10" style="235" customWidth="1"/>
    <col min="7" max="7" width="14.7109375" style="235" customWidth="1"/>
    <col min="8" max="8" width="11.42578125" style="265"/>
    <col min="9" max="9" width="23.140625" style="235" customWidth="1"/>
    <col min="10" max="10" width="13.85546875" style="235" customWidth="1"/>
    <col min="11" max="11" width="7.85546875" style="235" customWidth="1"/>
    <col min="12" max="12" width="94.28515625" style="592" customWidth="1"/>
    <col min="13" max="13" width="11.42578125" style="597"/>
    <col min="14" max="16384" width="11.42578125" style="235"/>
  </cols>
  <sheetData>
    <row r="3" spans="2:13" ht="12" customHeight="1">
      <c r="B3" s="236"/>
      <c r="C3" s="237" t="s">
        <v>465</v>
      </c>
      <c r="D3" s="238"/>
      <c r="E3" s="239"/>
      <c r="F3" s="239"/>
      <c r="G3" s="239"/>
      <c r="I3" s="239"/>
      <c r="J3" s="240"/>
      <c r="K3" s="241"/>
    </row>
    <row r="4" spans="2:13" ht="12" customHeight="1">
      <c r="B4" s="237"/>
      <c r="C4" s="242" t="s">
        <v>464</v>
      </c>
      <c r="D4" s="243">
        <v>44104</v>
      </c>
      <c r="E4" s="239"/>
      <c r="F4" s="239"/>
      <c r="G4" s="239"/>
      <c r="I4" s="239"/>
      <c r="J4" s="240"/>
      <c r="K4" s="241"/>
    </row>
    <row r="5" spans="2:13" ht="12" customHeight="1">
      <c r="B5" s="238"/>
      <c r="C5" s="242"/>
      <c r="D5" s="238"/>
      <c r="E5" s="239"/>
      <c r="F5" s="239"/>
      <c r="G5" s="239"/>
      <c r="I5" s="239"/>
      <c r="J5" s="240"/>
      <c r="K5" s="241"/>
    </row>
    <row r="6" spans="2:13" ht="57.75" customHeight="1">
      <c r="B6" s="238"/>
      <c r="C6" s="261" t="s">
        <v>494</v>
      </c>
      <c r="D6" s="262" t="s">
        <v>493</v>
      </c>
      <c r="E6" s="263" t="s">
        <v>162</v>
      </c>
      <c r="F6" s="263" t="s">
        <v>549</v>
      </c>
      <c r="G6" s="315" t="s">
        <v>716</v>
      </c>
      <c r="H6" s="266" t="s">
        <v>495</v>
      </c>
      <c r="I6" s="315" t="s">
        <v>731</v>
      </c>
      <c r="J6" s="264" t="s">
        <v>492</v>
      </c>
      <c r="K6" s="262" t="s">
        <v>294</v>
      </c>
      <c r="L6" s="593" t="s">
        <v>491</v>
      </c>
    </row>
    <row r="7" spans="2:13" ht="12" customHeight="1">
      <c r="B7" s="244"/>
      <c r="C7" s="245" t="s">
        <v>879</v>
      </c>
      <c r="D7" s="360" t="s">
        <v>724</v>
      </c>
      <c r="E7" s="246" t="s">
        <v>469</v>
      </c>
      <c r="F7" s="246" t="s">
        <v>573</v>
      </c>
      <c r="G7" s="479">
        <v>530000</v>
      </c>
      <c r="H7" s="267">
        <v>1</v>
      </c>
      <c r="I7" s="342" t="s">
        <v>917</v>
      </c>
      <c r="J7" s="294" t="s">
        <v>159</v>
      </c>
      <c r="K7" s="294" t="s">
        <v>159</v>
      </c>
      <c r="L7" s="594" t="s">
        <v>916</v>
      </c>
      <c r="M7" s="598">
        <f>G7/5</f>
        <v>106000</v>
      </c>
    </row>
    <row r="8" spans="2:13" ht="12" customHeight="1">
      <c r="B8" s="244"/>
      <c r="C8" s="258" t="s">
        <v>913</v>
      </c>
      <c r="D8" s="360" t="s">
        <v>914</v>
      </c>
      <c r="E8" s="246" t="s">
        <v>469</v>
      </c>
      <c r="F8" s="246" t="s">
        <v>573</v>
      </c>
      <c r="G8" s="480">
        <v>629000</v>
      </c>
      <c r="H8" s="267">
        <v>1</v>
      </c>
      <c r="I8" s="342" t="s">
        <v>917</v>
      </c>
      <c r="J8" s="294" t="s">
        <v>159</v>
      </c>
      <c r="K8" s="294" t="s">
        <v>159</v>
      </c>
      <c r="L8" s="594" t="s">
        <v>915</v>
      </c>
      <c r="M8" s="598">
        <f>G8/5</f>
        <v>125800</v>
      </c>
    </row>
    <row r="9" spans="2:13" ht="12" customHeight="1">
      <c r="B9" s="244"/>
      <c r="C9" s="258" t="s">
        <v>461</v>
      </c>
      <c r="D9" s="361" t="s">
        <v>723</v>
      </c>
      <c r="E9" s="259" t="s">
        <v>469</v>
      </c>
      <c r="F9" s="259" t="s">
        <v>550</v>
      </c>
      <c r="G9" s="480">
        <v>180</v>
      </c>
      <c r="H9" s="267">
        <v>0.57499999999999996</v>
      </c>
      <c r="I9" s="342" t="s">
        <v>652</v>
      </c>
      <c r="J9" s="591">
        <v>200</v>
      </c>
      <c r="K9" s="486" t="s">
        <v>292</v>
      </c>
      <c r="L9" s="595"/>
      <c r="M9" s="598">
        <f>G9*3900</f>
        <v>702000</v>
      </c>
    </row>
    <row r="10" spans="2:13" ht="12" customHeight="1">
      <c r="B10" s="244"/>
      <c r="C10" s="245" t="s">
        <v>717</v>
      </c>
      <c r="D10" s="360" t="s">
        <v>725</v>
      </c>
      <c r="E10" s="246" t="s">
        <v>469</v>
      </c>
      <c r="F10" s="259" t="s">
        <v>550</v>
      </c>
      <c r="G10" s="481">
        <v>429</v>
      </c>
      <c r="H10" s="267">
        <v>1</v>
      </c>
      <c r="I10" s="343" t="s">
        <v>718</v>
      </c>
      <c r="J10" s="591">
        <v>80</v>
      </c>
      <c r="K10" s="486" t="s">
        <v>292</v>
      </c>
      <c r="L10" s="594" t="s">
        <v>758</v>
      </c>
      <c r="M10" s="598">
        <f>G10*3900/3</f>
        <v>557700</v>
      </c>
    </row>
    <row r="11" spans="2:13" ht="12" customHeight="1">
      <c r="B11" s="244"/>
      <c r="C11" s="245" t="s">
        <v>574</v>
      </c>
      <c r="D11" s="360" t="s">
        <v>725</v>
      </c>
      <c r="E11" s="246" t="s">
        <v>469</v>
      </c>
      <c r="F11" s="259" t="s">
        <v>550</v>
      </c>
      <c r="G11" s="482"/>
      <c r="H11" s="267">
        <v>1</v>
      </c>
      <c r="I11" s="477" t="s">
        <v>719</v>
      </c>
      <c r="J11" s="656">
        <v>250</v>
      </c>
      <c r="K11" s="486" t="s">
        <v>292</v>
      </c>
      <c r="L11" s="594"/>
      <c r="M11" s="598"/>
    </row>
    <row r="12" spans="2:13" ht="12" customHeight="1">
      <c r="B12" s="244"/>
      <c r="C12" s="245" t="s">
        <v>496</v>
      </c>
      <c r="D12" s="360" t="s">
        <v>726</v>
      </c>
      <c r="E12" s="246" t="s">
        <v>469</v>
      </c>
      <c r="F12" s="246" t="s">
        <v>550</v>
      </c>
      <c r="G12" s="483" t="s">
        <v>735</v>
      </c>
      <c r="H12" s="267">
        <v>0.5</v>
      </c>
      <c r="I12" s="478" t="s">
        <v>850</v>
      </c>
      <c r="J12" s="655" t="s">
        <v>694</v>
      </c>
      <c r="K12" s="486" t="s">
        <v>462</v>
      </c>
      <c r="L12" s="594" t="s">
        <v>918</v>
      </c>
      <c r="M12" s="598">
        <f>300*0.5*3900</f>
        <v>585000</v>
      </c>
    </row>
    <row r="13" spans="2:13" ht="12" customHeight="1">
      <c r="B13" s="244"/>
      <c r="C13" s="258" t="s">
        <v>875</v>
      </c>
      <c r="D13" s="360" t="s">
        <v>422</v>
      </c>
      <c r="E13" s="246" t="s">
        <v>841</v>
      </c>
      <c r="F13" s="259" t="s">
        <v>573</v>
      </c>
      <c r="G13" s="480">
        <v>220601</v>
      </c>
      <c r="H13" s="588">
        <v>0.51</v>
      </c>
      <c r="I13" s="589">
        <v>2023</v>
      </c>
      <c r="J13" s="476" t="s">
        <v>159</v>
      </c>
      <c r="K13" s="294" t="s">
        <v>159</v>
      </c>
      <c r="L13" s="544" t="s">
        <v>876</v>
      </c>
      <c r="M13" s="598">
        <v>900000</v>
      </c>
    </row>
    <row r="14" spans="2:13" ht="12" customHeight="1">
      <c r="H14" s="484"/>
      <c r="I14" s="322"/>
    </row>
    <row r="15" spans="2:13" ht="12" customHeight="1">
      <c r="H15" s="485"/>
      <c r="I15" s="322"/>
    </row>
    <row r="16" spans="2:13" ht="12" customHeight="1">
      <c r="C16" s="237" t="s">
        <v>474</v>
      </c>
    </row>
    <row r="17" spans="2:12" ht="12" customHeight="1">
      <c r="C17" s="248" t="s">
        <v>732</v>
      </c>
    </row>
    <row r="19" spans="2:12" ht="12" customHeight="1">
      <c r="C19" s="237" t="s">
        <v>466</v>
      </c>
    </row>
    <row r="20" spans="2:12" ht="12" customHeight="1">
      <c r="C20" s="235" t="s">
        <v>734</v>
      </c>
    </row>
    <row r="21" spans="2:12" ht="12" customHeight="1">
      <c r="C21" s="235" t="s">
        <v>733</v>
      </c>
    </row>
    <row r="23" spans="2:12" ht="12" customHeight="1">
      <c r="C23" s="235" t="s">
        <v>480</v>
      </c>
      <c r="L23" s="596"/>
    </row>
    <row r="24" spans="2:12" ht="12" customHeight="1">
      <c r="L24" s="596"/>
    </row>
    <row r="25" spans="2:12" ht="12" customHeight="1">
      <c r="L25" s="596"/>
    </row>
    <row r="26" spans="2:12" ht="12" customHeight="1">
      <c r="B26" s="236"/>
      <c r="C26" s="234" t="s">
        <v>671</v>
      </c>
      <c r="L26" s="596"/>
    </row>
    <row r="27" spans="2:12" ht="12" customHeight="1">
      <c r="C27" s="234"/>
    </row>
    <row r="28" spans="2:12" ht="41.25" customHeight="1">
      <c r="C28" s="664" t="s">
        <v>851</v>
      </c>
      <c r="D28" s="664"/>
      <c r="E28" s="664"/>
      <c r="F28" s="397"/>
      <c r="G28" s="397"/>
      <c r="I28" s="397"/>
      <c r="J28" s="397"/>
      <c r="K28" s="397"/>
      <c r="L28" s="590"/>
    </row>
  </sheetData>
  <mergeCells count="1">
    <mergeCell ref="C28:E28"/>
  </mergeCell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DD45DAE0693CC46BE4AFEF47AFF9909" ma:contentTypeVersion="13" ma:contentTypeDescription="Crear nuevo documento." ma:contentTypeScope="" ma:versionID="21e945901ba545725fe5d772e4614c00">
  <xsd:schema xmlns:xsd="http://www.w3.org/2001/XMLSchema" xmlns:xs="http://www.w3.org/2001/XMLSchema" xmlns:p="http://schemas.microsoft.com/office/2006/metadata/properties" xmlns:ns3="9523a6b6-6ea4-4d4b-9bc0-3c7749a472a8" xmlns:ns4="729e971f-6258-46e4-b5f2-80e571e5c751" targetNamespace="http://schemas.microsoft.com/office/2006/metadata/properties" ma:root="true" ma:fieldsID="8e3e99208b90e21b5303b5a471c40efe" ns3:_="" ns4:_="">
    <xsd:import namespace="9523a6b6-6ea4-4d4b-9bc0-3c7749a472a8"/>
    <xsd:import namespace="729e971f-6258-46e4-b5f2-80e571e5c75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AutoKeyPoints" minOccurs="0"/>
                <xsd:element ref="ns4:MediaServiceKeyPoint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23a6b6-6ea4-4d4b-9bc0-3c7749a472a8"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29e971f-6258-46e4-b5f2-80e571e5c751"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2DD3E2-54F0-457D-86EC-CF54BBA3EE3B}">
  <ds:schemaRefs>
    <ds:schemaRef ds:uri="http://schemas.microsoft.com/sharepoint/v3/contenttype/forms"/>
  </ds:schemaRefs>
</ds:datastoreItem>
</file>

<file path=customXml/itemProps2.xml><?xml version="1.0" encoding="utf-8"?>
<ds:datastoreItem xmlns:ds="http://schemas.openxmlformats.org/officeDocument/2006/customXml" ds:itemID="{8164F3F1-9E99-4EBB-90C3-B44E90254E1D}">
  <ds:schemaRefs>
    <ds:schemaRef ds:uri="http://purl.org/dc/dcmitype/"/>
    <ds:schemaRef ds:uri="729e971f-6258-46e4-b5f2-80e571e5c751"/>
    <ds:schemaRef ds:uri="http://www.w3.org/XML/1998/namespace"/>
    <ds:schemaRef ds:uri="http://schemas.microsoft.com/office/2006/documentManagement/types"/>
    <ds:schemaRef ds:uri="http://schemas.openxmlformats.org/package/2006/metadata/core-properties"/>
    <ds:schemaRef ds:uri="http://schemas.microsoft.com/office/2006/metadata/properties"/>
    <ds:schemaRef ds:uri="http://purl.org/dc/elements/1.1/"/>
    <ds:schemaRef ds:uri="9523a6b6-6ea4-4d4b-9bc0-3c7749a472a8"/>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C759381A-FC8E-4E0E-8A79-5A0410B66B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23a6b6-6ea4-4d4b-9bc0-3c7749a472a8"/>
    <ds:schemaRef ds:uri="729e971f-6258-46e4-b5f2-80e571e5c7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Contenido</vt:lpstr>
      <vt:lpstr>EEFF Consolidados</vt:lpstr>
      <vt:lpstr>EEFF por seg. y cía</vt:lpstr>
      <vt:lpstr>Flujo de Efectivo</vt:lpstr>
      <vt:lpstr>Anexos Fros</vt:lpstr>
      <vt:lpstr>Anexos Ops. PxQ</vt:lpstr>
      <vt:lpstr>ESG</vt:lpstr>
      <vt:lpstr>DES activos</vt:lpstr>
      <vt:lpstr>DES Proyectos</vt:lpstr>
      <vt:lpstr>DES Contratos CA</vt:lpstr>
      <vt:lpstr>DES Ing. OR</vt:lpstr>
      <vt:lpstr>FAQs</vt:lpstr>
      <vt:lpstr>Fuentes info Col</vt:lpstr>
      <vt:lpstr>Fuentes info CA</vt:lpstr>
      <vt:lpstr>EEFF anteriores - Colgaaps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Molina Arcila</dc:creator>
  <cp:lastModifiedBy>Jesus Maria Cadavid Londoño</cp:lastModifiedBy>
  <cp:lastPrinted>2020-04-30T15:45:17Z</cp:lastPrinted>
  <dcterms:created xsi:type="dcterms:W3CDTF">2015-12-28T20:46:34Z</dcterms:created>
  <dcterms:modified xsi:type="dcterms:W3CDTF">2022-08-05T00:18:29Z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0x010100EDD45DAE0693CC46BE4AFEF47AFF9909</vt:lpwstr>
  </property>
</Properties>
</file>